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c4476f7073d3dbbf/Documents/Finance/The retirement planner/"/>
    </mc:Choice>
  </mc:AlternateContent>
  <xr:revisionPtr revIDLastSave="0" documentId="8_{B5DB7732-D53F-446C-89EF-601D13908D45}" xr6:coauthVersionLast="47" xr6:coauthVersionMax="47" xr10:uidLastSave="{00000000-0000-0000-0000-000000000000}"/>
  <bookViews>
    <workbookView xWindow="-98" yWindow="-98" windowWidth="21795" windowHeight="12975" activeTab="1" xr2:uid="{00000000-000D-0000-FFFF-FFFF00000000}"/>
  </bookViews>
  <sheets>
    <sheet name="Instructions" sheetId="1" r:id="rId1"/>
    <sheet name="Retirement Cash Flow" sheetId="2" r:id="rId2"/>
    <sheet name="Cash Flow V8" sheetId="3" r:id="rId3"/>
    <sheet name="Capital &amp; Net Worth" sheetId="4" r:id="rId4"/>
    <sheet name="Annual Report 2025"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5" l="1"/>
  <c r="B27" i="5"/>
  <c r="B24" i="5"/>
  <c r="C24" i="5" s="1"/>
  <c r="B23" i="5"/>
  <c r="C23" i="5" s="1"/>
  <c r="B22" i="5"/>
  <c r="B21" i="5"/>
  <c r="C21" i="5" s="1"/>
  <c r="C15" i="5"/>
  <c r="C11" i="5"/>
  <c r="F33" i="4"/>
  <c r="E33" i="4"/>
  <c r="D33" i="4"/>
  <c r="C33" i="4"/>
  <c r="F31" i="4"/>
  <c r="E31" i="4"/>
  <c r="D31" i="4"/>
  <c r="C31" i="4"/>
  <c r="B31" i="4"/>
  <c r="B32" i="5" s="1"/>
  <c r="C32" i="5" s="1"/>
  <c r="F30" i="4"/>
  <c r="E30" i="4"/>
  <c r="D30" i="4"/>
  <c r="C30" i="4"/>
  <c r="B30" i="4"/>
  <c r="F29" i="4"/>
  <c r="E29" i="4"/>
  <c r="D29" i="4"/>
  <c r="C29" i="4"/>
  <c r="B29" i="4"/>
  <c r="B26" i="5" s="1"/>
  <c r="C26" i="5" s="1"/>
  <c r="F25" i="4"/>
  <c r="E25" i="4"/>
  <c r="D25" i="4"/>
  <c r="C25" i="4"/>
  <c r="B25" i="4"/>
  <c r="F17" i="4"/>
  <c r="F34" i="4" s="1"/>
  <c r="E17" i="4"/>
  <c r="E34" i="4" s="1"/>
  <c r="D17" i="4"/>
  <c r="D34" i="4" s="1"/>
  <c r="C17" i="4"/>
  <c r="C34" i="4" s="1"/>
  <c r="B17" i="4"/>
  <c r="B28" i="4" s="1"/>
  <c r="B25" i="5" s="1"/>
  <c r="C25" i="5" s="1"/>
  <c r="C51" i="3"/>
  <c r="B51" i="3"/>
  <c r="G9" i="3" s="1"/>
  <c r="B16" i="5" s="1"/>
  <c r="C44" i="3"/>
  <c r="B44" i="3"/>
  <c r="C43" i="3"/>
  <c r="B43" i="3"/>
  <c r="C42" i="3"/>
  <c r="B42" i="3"/>
  <c r="C41" i="3"/>
  <c r="B41" i="3"/>
  <c r="C40" i="3"/>
  <c r="B40" i="3"/>
  <c r="C39" i="3"/>
  <c r="B39" i="3"/>
  <c r="C38" i="3"/>
  <c r="B38" i="3"/>
  <c r="C37" i="3"/>
  <c r="B37" i="3"/>
  <c r="C36" i="3"/>
  <c r="B36" i="3"/>
  <c r="C35" i="3"/>
  <c r="B35" i="3"/>
  <c r="B38" i="5" s="1"/>
  <c r="C34" i="3"/>
  <c r="B34" i="3"/>
  <c r="C33" i="3"/>
  <c r="B33" i="3"/>
  <c r="C32" i="3"/>
  <c r="B32" i="3"/>
  <c r="C31" i="3"/>
  <c r="B31" i="3"/>
  <c r="C30" i="3"/>
  <c r="B30" i="3"/>
  <c r="C29" i="3"/>
  <c r="B29" i="3"/>
  <c r="C28" i="3"/>
  <c r="B28" i="3"/>
  <c r="C23" i="3"/>
  <c r="B23" i="3"/>
  <c r="C22" i="3"/>
  <c r="B22" i="3"/>
  <c r="C21" i="3"/>
  <c r="B21" i="3"/>
  <c r="C17" i="3"/>
  <c r="B17" i="3"/>
  <c r="C15" i="3"/>
  <c r="B15" i="3"/>
  <c r="C14" i="3"/>
  <c r="B14" i="3"/>
  <c r="C13" i="3"/>
  <c r="B13" i="3"/>
  <c r="C12" i="3"/>
  <c r="B12" i="3"/>
  <c r="C11" i="3"/>
  <c r="B11" i="3"/>
  <c r="C9" i="3"/>
  <c r="B9" i="3"/>
  <c r="C8" i="3"/>
  <c r="B8" i="3"/>
  <c r="C7" i="3"/>
  <c r="C10" i="3" s="1"/>
  <c r="B7" i="3"/>
  <c r="B10" i="3" s="1"/>
  <c r="C5" i="3"/>
  <c r="B5" i="3"/>
  <c r="C4" i="3"/>
  <c r="C6" i="3" s="1"/>
  <c r="B4" i="3"/>
  <c r="B6" i="3" s="1"/>
  <c r="C55" i="2"/>
  <c r="B55" i="2"/>
  <c r="B45" i="3" s="1"/>
  <c r="G5" i="3" s="1"/>
  <c r="C28" i="2"/>
  <c r="C24" i="3" s="1"/>
  <c r="B28" i="2"/>
  <c r="B24" i="3" s="1"/>
  <c r="G3" i="3" s="1"/>
  <c r="B10" i="5" s="1"/>
  <c r="C22" i="2"/>
  <c r="C16" i="3" s="1"/>
  <c r="B22" i="2"/>
  <c r="B16" i="3" s="1"/>
  <c r="C15" i="2"/>
  <c r="B15" i="2"/>
  <c r="C10" i="2"/>
  <c r="B10" i="2"/>
  <c r="B23" i="2" l="1"/>
  <c r="C23" i="2"/>
  <c r="C18" i="3" s="1"/>
  <c r="C22" i="5"/>
  <c r="C58" i="2"/>
  <c r="C61" i="2" s="1"/>
  <c r="B59" i="2"/>
  <c r="B58" i="2"/>
  <c r="B61" i="2" s="1"/>
  <c r="B18" i="3"/>
  <c r="B32" i="4"/>
  <c r="B12" i="5"/>
  <c r="C12" i="5" s="1"/>
  <c r="B62" i="2"/>
  <c r="C62" i="2"/>
  <c r="C45" i="3"/>
  <c r="D28" i="4"/>
  <c r="C28" i="4"/>
  <c r="E28" i="4"/>
  <c r="F28" i="4"/>
  <c r="B34" i="4"/>
  <c r="C25" i="3" l="1"/>
  <c r="C53" i="3"/>
  <c r="C50" i="3"/>
  <c r="C48" i="3"/>
  <c r="C52" i="3" s="1"/>
  <c r="C59" i="2"/>
  <c r="B33" i="4"/>
  <c r="B34" i="5" s="1"/>
  <c r="C34" i="5" s="1"/>
  <c r="B33" i="5"/>
  <c r="C33" i="5" s="1"/>
  <c r="C54" i="3"/>
  <c r="C49" i="3"/>
  <c r="B53" i="3"/>
  <c r="G11" i="3" s="1"/>
  <c r="G2" i="3"/>
  <c r="B9" i="5" s="1"/>
  <c r="C9" i="5" s="1"/>
  <c r="B25" i="3"/>
  <c r="B50" i="3"/>
  <c r="G8" i="3" s="1"/>
  <c r="B15" i="5" s="1"/>
  <c r="C16" i="5" s="1"/>
  <c r="B48" i="3"/>
  <c r="B49" i="3" l="1"/>
  <c r="G7" i="3" s="1"/>
  <c r="B14" i="5" s="1"/>
  <c r="C14" i="5" s="1"/>
  <c r="G4" i="3"/>
  <c r="B11" i="5" s="1"/>
  <c r="C10" i="5" s="1"/>
  <c r="B54" i="3"/>
  <c r="G12" i="3" s="1"/>
  <c r="B35" i="5" s="1"/>
  <c r="C35" i="5" s="1"/>
  <c r="G6" i="3"/>
  <c r="B13" i="5" s="1"/>
  <c r="C13" i="5" s="1"/>
  <c r="B52" i="3"/>
  <c r="G10" i="3" s="1"/>
  <c r="B17" i="5" l="1"/>
  <c r="G13" i="3"/>
  <c r="B35" i="4" s="1"/>
  <c r="C39" i="5" l="1"/>
  <c r="C17" i="5"/>
  <c r="C5" i="5"/>
  <c r="B5" i="5"/>
</calcChain>
</file>

<file path=xl/sharedStrings.xml><?xml version="1.0" encoding="utf-8"?>
<sst xmlns="http://schemas.openxmlformats.org/spreadsheetml/2006/main" count="267" uniqueCount="183">
  <si>
    <t>Design of Retirement Capital™ Planning Workbook — Version 8</t>
  </si>
  <si>
    <r>
      <rPr>
        <b/>
        <sz val="11"/>
        <color theme="1"/>
        <rFont val="Calibri"/>
        <family val="2"/>
      </rPr>
      <t>Engineering Perspective and instructions</t>
    </r>
    <r>
      <rPr>
        <sz val="11"/>
        <color theme="1"/>
        <rFont val="Calibri"/>
        <family val="2"/>
      </rPr>
      <t xml:space="preserve">
This workbook is not intended to predict the future. It is an engineering model that allows you to test financial decisions before you make them by changing assumptions and observing their long-term consequences.</t>
    </r>
    <r>
      <rPr>
        <b/>
        <sz val="12"/>
        <color theme="1"/>
        <rFont val="Calibri"/>
        <family val="2"/>
      </rPr>
      <t xml:space="preserve"> Replace all Sample values highlighted in yellow with your figures. The sample figures assume a 5% investment performance on a $2,000,000 porfolio to start. </t>
    </r>
    <r>
      <rPr>
        <sz val="11"/>
        <color theme="1"/>
        <rFont val="Calibri"/>
      </rPr>
      <t xml:space="preserve">
No model can eliminate uncertainty. However, a well-designed model can help you understand how different decisions may influence future outcomes, allowing you to make more informed choices.
Think of this workbook as a laboratory rather than a calculator. By adjusting assumptions such as retirement age, investment returns, inflation, spending, savings, and Social Security benefits, you can evaluate alternative strategies and compare their potential outcomes before committing to a financial plan.
The objective is not to discover a single "correct" answer. The objective is to understand the relationship between today's decisions and tomorrow's possibilities.
As with every engineering project, the quality of the results depends on the quality of the assumptions. Review your assumptions regularly, update the model as your circumstances change, and use the results as one of several tools in making important financial decisions.
"Good decisions are not made by predicting the future. They are made by understanding the consequences of today's choices."
</t>
    </r>
  </si>
  <si>
    <t>CONSTANT 2026 DOLLARS</t>
  </si>
  <si>
    <t>RETIREMENT CASH FLOW MODEL</t>
  </si>
  <si>
    <t>Charles AGE</t>
  </si>
  <si>
    <t>SAMPLE</t>
  </si>
  <si>
    <t>Category</t>
  </si>
  <si>
    <t>Budget Annually</t>
  </si>
  <si>
    <t>Actual Annually</t>
  </si>
  <si>
    <t>INCOME</t>
  </si>
  <si>
    <t>Social Security or Income</t>
  </si>
  <si>
    <t>Person</t>
  </si>
  <si>
    <t>Total Social Security</t>
  </si>
  <si>
    <t>Pension / 401K</t>
  </si>
  <si>
    <t>Total Pension</t>
  </si>
  <si>
    <t>Investment Income</t>
  </si>
  <si>
    <t xml:space="preserve">Annuity </t>
  </si>
  <si>
    <t>Schwab ind income Person</t>
  </si>
  <si>
    <t>Bank interet</t>
  </si>
  <si>
    <t>Other Income total</t>
  </si>
  <si>
    <t>Total Operating Income</t>
  </si>
  <si>
    <t>ASSET DRAWDOWNS</t>
  </si>
  <si>
    <t>IRA distribution Person</t>
  </si>
  <si>
    <t>Total Asset Drawdowns</t>
  </si>
  <si>
    <t xml:space="preserve">IRA ASSETS </t>
  </si>
  <si>
    <t>Drawdown vs Growth</t>
  </si>
  <si>
    <t>EXPENSES</t>
  </si>
  <si>
    <t>Housing</t>
  </si>
  <si>
    <t>Utilities</t>
  </si>
  <si>
    <t>Food</t>
  </si>
  <si>
    <t>Transportation</t>
  </si>
  <si>
    <t>Medical</t>
  </si>
  <si>
    <t>Insurance</t>
  </si>
  <si>
    <t>Travel</t>
  </si>
  <si>
    <t>Vehicle Maintenance</t>
  </si>
  <si>
    <t>Home Maintenance</t>
  </si>
  <si>
    <t>Entertainment</t>
  </si>
  <si>
    <t>Other Expenses</t>
  </si>
  <si>
    <t>Federal Income Tax</t>
  </si>
  <si>
    <t>State Income Tax</t>
  </si>
  <si>
    <t>Property Tax</t>
  </si>
  <si>
    <t>Vehicle Tax</t>
  </si>
  <si>
    <t>Other monthly credit card payoff</t>
  </si>
  <si>
    <t>Grandchildren Gifts</t>
  </si>
  <si>
    <t>Total Expenses</t>
  </si>
  <si>
    <t>SUMMARY</t>
  </si>
  <si>
    <t>Net Cash Flow</t>
  </si>
  <si>
    <t>5% Savings Goal</t>
  </si>
  <si>
    <t>Savings Transfer (Actual)</t>
  </si>
  <si>
    <t>Remaining Cash Flow</t>
  </si>
  <si>
    <t>Financial Flexibility Ratio</t>
  </si>
  <si>
    <t>RETIREMENT CASH FLOW MODEL - V8</t>
  </si>
  <si>
    <t>RETIREMENT DASHBOARD</t>
  </si>
  <si>
    <t>Notes</t>
  </si>
  <si>
    <t>Operating Income</t>
  </si>
  <si>
    <t>OPERATING INCOME</t>
  </si>
  <si>
    <t>Counts toward 5% savings goal</t>
  </si>
  <si>
    <t>Asset Drawdowns</t>
  </si>
  <si>
    <t>Social Security - Person</t>
  </si>
  <si>
    <t>Total Cash Available</t>
  </si>
  <si>
    <t>Operating Cash Flow</t>
  </si>
  <si>
    <t>Pension - Person</t>
  </si>
  <si>
    <t>Cash Flow Incl. Drawdowns</t>
  </si>
  <si>
    <t>Savings Transfer / Achieved</t>
  </si>
  <si>
    <t>Savings Rate Achieved</t>
  </si>
  <si>
    <t>Drawdowns % of Cash Available</t>
  </si>
  <si>
    <t>Schwab Income - Person</t>
  </si>
  <si>
    <t>F&amp;M Bank Interest</t>
  </si>
  <si>
    <t>Total Investment / Interest Income</t>
  </si>
  <si>
    <t>Other Recurring Income</t>
  </si>
  <si>
    <t>TOTAL OPERATING INCOME</t>
  </si>
  <si>
    <t>5% savings goal is based on this line only</t>
  </si>
  <si>
    <t>Shown separately; excluded from 5% savings goal</t>
  </si>
  <si>
    <t>IRA/RMD Distribution - Person</t>
  </si>
  <si>
    <t>Asset drawdown; not operating income</t>
  </si>
  <si>
    <t>Other Asset Drawdowns</t>
  </si>
  <si>
    <t>TOTAL ASSET DRAWDOWNS</t>
  </si>
  <si>
    <t>TOTAL CASH AVAILABLE</t>
  </si>
  <si>
    <t>Operating income plus asset drawdowns</t>
  </si>
  <si>
    <t>Annual spending / outflows</t>
  </si>
  <si>
    <t>Family legacy expense</t>
  </si>
  <si>
    <t>From current estimate/screenshot</t>
  </si>
  <si>
    <t>Other Taxes</t>
  </si>
  <si>
    <t>TOTAL EXPENSES</t>
  </si>
  <si>
    <t>Operating income minus expenses</t>
  </si>
  <si>
    <t>Cash Flow Including Drawdowns</t>
  </si>
  <si>
    <t>Total cash available minus expenses</t>
  </si>
  <si>
    <t>5% of operating income only</t>
  </si>
  <si>
    <t>Manual input</t>
  </si>
  <si>
    <t>Remaining Cash Flow After Savings</t>
  </si>
  <si>
    <t>Cash flow incl. drawdowns minus savings transfer</t>
  </si>
  <si>
    <t>Savings transfer divided by operating income</t>
  </si>
  <si>
    <t>Drawdowns as % of Cash Available</t>
  </si>
  <si>
    <t>Shows reliance on asset drawdowns</t>
  </si>
  <si>
    <t>CAPITAL &amp; NET WORTH</t>
  </si>
  <si>
    <t>2025</t>
  </si>
  <si>
    <t>2026</t>
  </si>
  <si>
    <t>2027</t>
  </si>
  <si>
    <t>2028</t>
  </si>
  <si>
    <t>2029</t>
  </si>
  <si>
    <t>ASSETS</t>
  </si>
  <si>
    <t>Stocks / Brokerage Account</t>
  </si>
  <si>
    <t>Manual input: year-end value of taxable stocks/brokerage</t>
  </si>
  <si>
    <t>Schwab Individual Account - Person</t>
  </si>
  <si>
    <t>Manual input: Charles Schwab individual taxable account year-end value</t>
  </si>
  <si>
    <t>Manual input: Sarah Schwab individual taxable account year-end value</t>
  </si>
  <si>
    <t>Person IRA</t>
  </si>
  <si>
    <t>Manual input: Charles IRA year-end value</t>
  </si>
  <si>
    <t>Manual input: Sarah IRA year-end value</t>
  </si>
  <si>
    <t>Savings / Money Market</t>
  </si>
  <si>
    <t>Manual input: cash, savings, and money market balances</t>
  </si>
  <si>
    <t>Manual input: John Hancock annuity value</t>
  </si>
  <si>
    <t>Home Value</t>
  </si>
  <si>
    <t>Manual input: estimated home market value</t>
  </si>
  <si>
    <t>Car Value</t>
  </si>
  <si>
    <t>Manual input: Taycan current value</t>
  </si>
  <si>
    <t>Manual input: Volt current value</t>
  </si>
  <si>
    <t>Other Assets</t>
  </si>
  <si>
    <t>Manual input: other assets</t>
  </si>
  <si>
    <t>Total Assets</t>
  </si>
  <si>
    <t>Formula: sum of assets</t>
  </si>
  <si>
    <t>LIABILITIES</t>
  </si>
  <si>
    <t>Mortgage Remaining</t>
  </si>
  <si>
    <t>Manual input: mortgage principal remaining</t>
  </si>
  <si>
    <t>Car Loan Remaining</t>
  </si>
  <si>
    <t>Manual input: Taycan loan principal remaining</t>
  </si>
  <si>
    <t>Manual input: Volt loan principal remaining</t>
  </si>
  <si>
    <t>Credit Cards</t>
  </si>
  <si>
    <t>Manual input: credit card balances</t>
  </si>
  <si>
    <t>Other Debt</t>
  </si>
  <si>
    <t>Manual input: other debts</t>
  </si>
  <si>
    <t>Total Liabilities</t>
  </si>
  <si>
    <t>Formula: sum of liabilities</t>
  </si>
  <si>
    <t>RETIREMENT SAFETY METRICS</t>
  </si>
  <si>
    <t>Net Worth</t>
  </si>
  <si>
    <t>Formula: Total Assets - Total Liabilities</t>
  </si>
  <si>
    <t>Home Equity</t>
  </si>
  <si>
    <t>Formula: Home Value - Mortgage</t>
  </si>
  <si>
    <t>Vehicle Equity</t>
  </si>
  <si>
    <t>Formula: Vehicle Values - Vehicle Loans</t>
  </si>
  <si>
    <t>Liquid Assets</t>
  </si>
  <si>
    <t>Formula: Brokerage + Schwab Individual + IRAs + Savings/Money Market</t>
  </si>
  <si>
    <t>Annual Expenses</t>
  </si>
  <si>
    <t>Links to 2025 Cash Flow total expenses; enter future years</t>
  </si>
  <si>
    <t>Years Expenses Covered by Liquid Assets</t>
  </si>
  <si>
    <t>Formula: Liquid Assets / Annual Expenses</t>
  </si>
  <si>
    <t>Debt-to-Asset Ratio</t>
  </si>
  <si>
    <t>Formula: Total Liabilities / Total Assets</t>
  </si>
  <si>
    <t>Formula: Remaining Cash Flow / Total Expenses</t>
  </si>
  <si>
    <t>Remaining Cash Flow / Total Expenses</t>
  </si>
  <si>
    <t>JACOBUS FAMILY RETIREMENT ANNUAL REPORT</t>
  </si>
  <si>
    <t>Fiscal Year</t>
  </si>
  <si>
    <t>FY 2025</t>
  </si>
  <si>
    <t>EXECUTIVE SUMMARY</t>
  </si>
  <si>
    <t>Overall Retirement Grade</t>
  </si>
  <si>
    <t>CASH FLOW PERFORMANCE</t>
  </si>
  <si>
    <t>Metric</t>
  </si>
  <si>
    <t>Amount</t>
  </si>
  <si>
    <t>Assessment</t>
  </si>
  <si>
    <t>Savings Transfer Achieved</t>
  </si>
  <si>
    <t>CAPITAL POSITION</t>
  </si>
  <si>
    <t>John Hancock Annuity 2717401</t>
  </si>
  <si>
    <t>Tracked annuity asset</t>
  </si>
  <si>
    <t>John Hancock Annuity 2717402</t>
  </si>
  <si>
    <t>Result</t>
  </si>
  <si>
    <t>Years of Expenses Covered</t>
  </si>
  <si>
    <t>LEGACY AND FAMILY SUPPORT</t>
  </si>
  <si>
    <t>Tracked as a separate family legacy expense</t>
  </si>
  <si>
    <t>PRIMARY STRENGTHS</t>
  </si>
  <si>
    <t>• Strong recurring income stream</t>
  </si>
  <si>
    <t>• Modest reliance on IRA and asset drawdowns</t>
  </si>
  <si>
    <t>• Significant liquid reserves</t>
  </si>
  <si>
    <t>• Low debt burden</t>
  </si>
  <si>
    <t>• Savings goal achieved</t>
  </si>
  <si>
    <t>• Substantial net worth and home equity</t>
  </si>
  <si>
    <t>PRIMARY WATCH ITEMS</t>
  </si>
  <si>
    <t>• Monitor annual net worth to ensure assets remain stable or continue to grow over time</t>
  </si>
  <si>
    <t>• Continue tracking housing, medical, tax, and vehicle expenses</t>
  </si>
  <si>
    <t>• Review investment allocation and cash reserves annually</t>
  </si>
  <si>
    <t>• Continue tracking grandchildren gifts as a separate legacy objective</t>
  </si>
  <si>
    <t>The  retirement plan is operating from a position of financial strength. Current income comfortably supports spending requirements, liquid assets provide substantial protection against unexpected events, and debt remains well controlled. Barring major unforeseen circumstances, the plan appears capable of supporting both lifestyle goals and long-term family legacy objectives.</t>
  </si>
  <si>
    <t>Note</t>
  </si>
  <si>
    <t>This report is linked to the Retirement Cash Flow sheet through Cash Flow V8. Expense changes on the primary cash-flow sheet should flow to the dashboard, capital safety metrics, and annual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</si>
</sst>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
    <numFmt numFmtId="165" formatCode="\$#,##0;[Red]\(\$#,##0\);\-"/>
    <numFmt numFmtId="166" formatCode="\$#,##0;\(\$#,##0\);\-"/>
    <numFmt numFmtId="167" formatCode="0.0%"/>
    <numFmt numFmtId="168" formatCode="0.00;[Red]\(0.00\);\-"/>
    <numFmt numFmtId="169" formatCode="0.0%;[Red]\(0.0%\);\-"/>
  </numFmts>
  <fonts count="21" x14ac:knownFonts="1">
    <font>
      <sz val="11"/>
      <color theme="1"/>
      <name val="Calibri"/>
    </font>
    <font>
      <b/>
      <sz val="11"/>
      <name val="Calibri"/>
    </font>
    <font>
      <b/>
      <sz val="11"/>
      <color theme="1"/>
      <name val="Calibri"/>
    </font>
    <font>
      <b/>
      <sz val="11"/>
      <color rgb="FFFF0000"/>
      <name val="Calibri"/>
    </font>
    <font>
      <b/>
      <sz val="11"/>
      <name val="Calibri"/>
    </font>
    <font>
      <sz val="11"/>
      <color theme="1"/>
      <name val="Times New Roman"/>
    </font>
    <font>
      <sz val="10"/>
      <color indexed="8"/>
      <name val="Times New Roman"/>
    </font>
    <font>
      <sz val="10"/>
      <color theme="1"/>
      <name val="Times New Roman"/>
    </font>
    <font>
      <b/>
      <sz val="10"/>
      <color indexed="8"/>
      <name val="Times New Roman"/>
    </font>
    <font>
      <b/>
      <sz val="10"/>
      <color theme="1"/>
      <name val="Times New Roman"/>
    </font>
    <font>
      <b/>
      <sz val="14"/>
      <color rgb="FFFFFFFF"/>
      <name val="Calibri"/>
    </font>
    <font>
      <b/>
      <sz val="11"/>
      <color rgb="FFFFFFFF"/>
      <name val="Calibri"/>
    </font>
    <font>
      <b/>
      <sz val="16"/>
      <color rgb="FFFFFFFF"/>
      <name val="Calibri"/>
    </font>
    <font>
      <i/>
      <sz val="11"/>
      <color theme="1"/>
      <name val="Calibri"/>
    </font>
    <font>
      <sz val="11"/>
      <color theme="1"/>
      <name val="Calibri"/>
    </font>
    <font>
      <b/>
      <sz val="22"/>
      <color rgb="FFFFFFFF"/>
      <name val="Calibri"/>
    </font>
    <font>
      <b/>
      <sz val="16"/>
      <name val="Calibri"/>
    </font>
    <font>
      <b/>
      <sz val="14"/>
      <color rgb="FFFF0000"/>
      <name val="Calibri"/>
    </font>
    <font>
      <b/>
      <sz val="11"/>
      <color theme="1"/>
      <name val="Calibri"/>
      <family val="2"/>
    </font>
    <font>
      <sz val="11"/>
      <color theme="1"/>
      <name val="Calibri"/>
      <family val="2"/>
    </font>
    <font>
      <b/>
      <sz val="12"/>
      <color theme="1"/>
      <name val="Calibri"/>
      <family val="2"/>
    </font>
  </fonts>
  <fills count="14">
    <fill>
      <patternFill patternType="none"/>
    </fill>
    <fill>
      <patternFill patternType="gray125"/>
    </fill>
    <fill>
      <patternFill patternType="solid">
        <fgColor rgb="FF1F4E79"/>
      </patternFill>
    </fill>
    <fill>
      <patternFill patternType="solid">
        <fgColor rgb="FFD9EAF7"/>
      </patternFill>
    </fill>
    <fill>
      <patternFill patternType="solid">
        <fgColor rgb="FFE2F0D9"/>
      </patternFill>
    </fill>
    <fill>
      <patternFill patternType="solid">
        <fgColor rgb="FF1F4E78"/>
      </patternFill>
    </fill>
    <fill>
      <patternFill patternType="solid">
        <fgColor rgb="FF5B9BD5"/>
      </patternFill>
    </fill>
    <fill>
      <patternFill patternType="solid">
        <fgColor rgb="FFD9EAF7"/>
      </patternFill>
    </fill>
    <fill>
      <patternFill patternType="solid">
        <fgColor rgb="FF1F4E78"/>
      </patternFill>
    </fill>
    <fill>
      <patternFill patternType="solid">
        <fgColor rgb="FFD9EAF7"/>
      </patternFill>
    </fill>
    <fill>
      <patternFill patternType="solid">
        <fgColor rgb="FFE2F0D9"/>
      </patternFill>
    </fill>
    <fill>
      <patternFill patternType="solid">
        <fgColor rgb="FFFFF2CC"/>
      </patternFill>
    </fill>
    <fill>
      <patternFill patternType="solid">
        <fgColor rgb="FFFFF59D"/>
      </patternFill>
    </fill>
    <fill>
      <patternFill patternType="solid">
        <fgColor rgb="FFFFF2CC"/>
      </patternFill>
    </fill>
  </fills>
  <borders count="2">
    <border>
      <left/>
      <right/>
      <top/>
      <bottom/>
      <diagonal/>
    </border>
    <border>
      <left/>
      <right/>
      <top/>
      <bottom/>
      <diagonal/>
    </border>
  </borders>
  <cellStyleXfs count="1">
    <xf numFmtId="0" fontId="0" fillId="0" borderId="1"/>
  </cellStyleXfs>
  <cellXfs count="67">
    <xf numFmtId="0" fontId="0" fillId="0" borderId="0" xfId="0" applyBorder="1"/>
    <xf numFmtId="0" fontId="1" fillId="0" borderId="0" xfId="0" applyFont="1" applyBorder="1"/>
    <xf numFmtId="0" fontId="3" fillId="0" borderId="0" xfId="0" applyFont="1" applyBorder="1"/>
    <xf numFmtId="0" fontId="4" fillId="0" borderId="0" xfId="0" applyFont="1" applyBorder="1"/>
    <xf numFmtId="164" fontId="0" fillId="0" borderId="0" xfId="0" applyNumberFormat="1" applyBorder="1"/>
    <xf numFmtId="164" fontId="4" fillId="0" borderId="0" xfId="0" applyNumberFormat="1" applyFont="1" applyBorder="1"/>
    <xf numFmtId="0" fontId="6" fillId="0" borderId="0" xfId="0" applyFont="1" applyBorder="1"/>
    <xf numFmtId="0" fontId="2" fillId="0" borderId="0" xfId="0" applyFont="1" applyBorder="1"/>
    <xf numFmtId="164" fontId="2" fillId="0" borderId="0" xfId="0" applyNumberFormat="1" applyFont="1" applyBorder="1"/>
    <xf numFmtId="0" fontId="8" fillId="0" borderId="0" xfId="0" applyFont="1" applyBorder="1"/>
    <xf numFmtId="165" fontId="0" fillId="0" borderId="0" xfId="0" applyNumberFormat="1" applyBorder="1"/>
    <xf numFmtId="165" fontId="2" fillId="0" borderId="0" xfId="0" applyNumberFormat="1" applyFont="1" applyBorder="1"/>
    <xf numFmtId="165" fontId="9" fillId="0" borderId="0" xfId="0" applyNumberFormat="1" applyFont="1" applyBorder="1" applyAlignment="1">
      <alignment horizontal="right"/>
    </xf>
    <xf numFmtId="0" fontId="10" fillId="2" borderId="0" xfId="0" applyFont="1" applyFill="1" applyBorder="1" applyAlignment="1">
      <alignment wrapText="1"/>
    </xf>
    <xf numFmtId="0" fontId="2" fillId="3" borderId="0" xfId="0" applyFont="1" applyFill="1" applyBorder="1" applyAlignment="1">
      <alignment wrapText="1"/>
    </xf>
    <xf numFmtId="0" fontId="2" fillId="4" borderId="0" xfId="0" applyFont="1" applyFill="1" applyBorder="1" applyAlignment="1">
      <alignment wrapText="1"/>
    </xf>
    <xf numFmtId="0" fontId="0" fillId="0" borderId="0" xfId="0" applyBorder="1" applyAlignment="1">
      <alignment wrapText="1"/>
    </xf>
    <xf numFmtId="166" fontId="0" fillId="0" borderId="0" xfId="0" applyNumberFormat="1" applyBorder="1" applyAlignment="1">
      <alignment wrapText="1"/>
    </xf>
    <xf numFmtId="0" fontId="2" fillId="0" borderId="0" xfId="0" applyFont="1" applyBorder="1" applyAlignment="1">
      <alignment wrapText="1"/>
    </xf>
    <xf numFmtId="166" fontId="2" fillId="0" borderId="0" xfId="0" applyNumberFormat="1" applyFont="1" applyBorder="1" applyAlignment="1">
      <alignment wrapText="1"/>
    </xf>
    <xf numFmtId="166" fontId="2" fillId="4" borderId="0" xfId="0" applyNumberFormat="1" applyFont="1" applyFill="1" applyBorder="1" applyAlignment="1">
      <alignment wrapText="1"/>
    </xf>
    <xf numFmtId="167" fontId="2" fillId="0" borderId="0" xfId="0" applyNumberFormat="1" applyFont="1" applyBorder="1" applyAlignment="1">
      <alignment wrapText="1"/>
    </xf>
    <xf numFmtId="0" fontId="11" fillId="2" borderId="0" xfId="0" applyFont="1" applyFill="1" applyBorder="1"/>
    <xf numFmtId="167" fontId="0" fillId="0" borderId="0" xfId="0" applyNumberFormat="1" applyBorder="1"/>
    <xf numFmtId="0" fontId="11" fillId="5" borderId="0" xfId="0" applyFont="1" applyFill="1" applyBorder="1" applyAlignment="1">
      <alignment horizontal="center"/>
    </xf>
    <xf numFmtId="0" fontId="11" fillId="6" borderId="0" xfId="0" applyFont="1" applyFill="1" applyBorder="1" applyAlignment="1">
      <alignment horizontal="center"/>
    </xf>
    <xf numFmtId="0" fontId="2" fillId="7" borderId="0" xfId="0" applyFont="1" applyFill="1" applyBorder="1" applyAlignment="1">
      <alignment horizontal="left"/>
    </xf>
    <xf numFmtId="167" fontId="2" fillId="0" borderId="0" xfId="0" applyNumberFormat="1" applyFont="1" applyBorder="1"/>
    <xf numFmtId="0" fontId="11" fillId="8" borderId="0" xfId="0" applyFont="1" applyFill="1" applyBorder="1"/>
    <xf numFmtId="0" fontId="2" fillId="9" borderId="0" xfId="0" applyFont="1" applyFill="1" applyBorder="1"/>
    <xf numFmtId="0" fontId="2" fillId="10" borderId="0" xfId="0" applyFont="1" applyFill="1" applyBorder="1"/>
    <xf numFmtId="0" fontId="11" fillId="5" borderId="0" xfId="0" applyFont="1" applyFill="1" applyBorder="1" applyAlignment="1">
      <alignment wrapText="1"/>
    </xf>
    <xf numFmtId="0" fontId="13" fillId="11" borderId="0" xfId="0" applyFont="1" applyFill="1" applyBorder="1" applyAlignment="1">
      <alignment wrapText="1"/>
    </xf>
    <xf numFmtId="0" fontId="14" fillId="0" borderId="0" xfId="0" applyFont="1" applyBorder="1"/>
    <xf numFmtId="165" fontId="10" fillId="2" borderId="0" xfId="0" applyNumberFormat="1" applyFont="1" applyFill="1" applyBorder="1" applyAlignment="1">
      <alignment wrapText="1"/>
    </xf>
    <xf numFmtId="165" fontId="11" fillId="5" borderId="0" xfId="0" applyNumberFormat="1" applyFont="1" applyFill="1" applyBorder="1" applyAlignment="1">
      <alignment horizontal="center"/>
    </xf>
    <xf numFmtId="165" fontId="11" fillId="5" borderId="0" xfId="0" applyNumberFormat="1" applyFont="1" applyFill="1" applyBorder="1"/>
    <xf numFmtId="165" fontId="2" fillId="3" borderId="0" xfId="0" applyNumberFormat="1" applyFont="1" applyFill="1" applyBorder="1"/>
    <xf numFmtId="0" fontId="2" fillId="0" borderId="0" xfId="0" applyFont="1" applyBorder="1" applyAlignment="1">
      <alignment horizontal="right"/>
    </xf>
    <xf numFmtId="165" fontId="2" fillId="3" borderId="0" xfId="0" applyNumberFormat="1" applyFont="1" applyFill="1" applyBorder="1" applyAlignment="1">
      <alignment horizontal="left"/>
    </xf>
    <xf numFmtId="168" fontId="2" fillId="0" borderId="0" xfId="0" applyNumberFormat="1" applyFont="1" applyBorder="1"/>
    <xf numFmtId="169" fontId="2" fillId="0" borderId="0" xfId="0" applyNumberFormat="1" applyFont="1" applyBorder="1"/>
    <xf numFmtId="168" fontId="2" fillId="3" borderId="0" xfId="0" applyNumberFormat="1" applyFont="1" applyFill="1" applyBorder="1"/>
    <xf numFmtId="169" fontId="0" fillId="0" borderId="0" xfId="0" applyNumberFormat="1" applyBorder="1"/>
    <xf numFmtId="168" fontId="0" fillId="0" borderId="0" xfId="0" applyNumberFormat="1" applyBorder="1"/>
    <xf numFmtId="165" fontId="2" fillId="12" borderId="0" xfId="0" applyNumberFormat="1" applyFont="1" applyFill="1" applyBorder="1"/>
    <xf numFmtId="0" fontId="15" fillId="2" borderId="0" xfId="0" applyFont="1" applyFill="1" applyBorder="1"/>
    <xf numFmtId="0" fontId="16" fillId="0" borderId="0" xfId="0" applyFont="1" applyBorder="1"/>
    <xf numFmtId="0" fontId="14" fillId="0" borderId="0" xfId="0" applyFont="1" applyBorder="1" applyAlignment="1">
      <alignment vertical="top" wrapText="1"/>
    </xf>
    <xf numFmtId="0" fontId="0" fillId="0" borderId="1" xfId="0"/>
    <xf numFmtId="0" fontId="14" fillId="0" borderId="0" xfId="0" applyFont="1" applyBorder="1" applyAlignment="1">
      <alignment wrapText="1"/>
    </xf>
    <xf numFmtId="165" fontId="5" fillId="13" borderId="0" xfId="0" applyNumberFormat="1" applyFont="1" applyFill="1" applyBorder="1"/>
    <xf numFmtId="165" fontId="0" fillId="13" borderId="0" xfId="0" applyNumberFormat="1" applyFill="1" applyBorder="1"/>
    <xf numFmtId="165" fontId="7" fillId="13" borderId="0" xfId="0" applyNumberFormat="1" applyFont="1" applyFill="1" applyBorder="1" applyAlignment="1">
      <alignment horizontal="right"/>
    </xf>
    <xf numFmtId="0" fontId="0" fillId="13" borderId="0" xfId="0" applyFill="1" applyBorder="1"/>
    <xf numFmtId="165" fontId="2" fillId="13" borderId="0" xfId="0" applyNumberFormat="1" applyFont="1" applyFill="1" applyBorder="1"/>
    <xf numFmtId="164" fontId="17" fillId="0" borderId="1" xfId="0" applyNumberFormat="1" applyFont="1" applyAlignment="1">
      <alignment horizontal="center" vertical="center"/>
    </xf>
    <xf numFmtId="0" fontId="17" fillId="0" borderId="0" xfId="0" applyFont="1" applyBorder="1" applyAlignment="1">
      <alignment horizontal="center" vertical="center"/>
    </xf>
    <xf numFmtId="164" fontId="17" fillId="0" borderId="0" xfId="0" applyNumberFormat="1" applyFont="1" applyBorder="1" applyAlignment="1">
      <alignment horizontal="center"/>
    </xf>
    <xf numFmtId="0" fontId="17" fillId="0" borderId="0" xfId="0" applyFont="1" applyBorder="1" applyAlignment="1">
      <alignment horizontal="center"/>
    </xf>
    <xf numFmtId="0" fontId="2" fillId="0" borderId="1" xfId="0" applyFont="1" applyAlignment="1">
      <alignment horizontal="center"/>
    </xf>
    <xf numFmtId="0" fontId="0" fillId="0" borderId="0" xfId="0" applyBorder="1"/>
    <xf numFmtId="164" fontId="7" fillId="0" borderId="1" xfId="0" applyNumberFormat="1" applyFont="1" applyAlignment="1">
      <alignment horizontal="right"/>
    </xf>
    <xf numFmtId="0" fontId="2" fillId="0" borderId="0" xfId="0" applyFont="1" applyBorder="1"/>
    <xf numFmtId="164" fontId="0" fillId="0" borderId="0" xfId="0" applyNumberFormat="1" applyBorder="1"/>
    <xf numFmtId="0" fontId="2" fillId="13" borderId="0" xfId="0" applyFont="1" applyFill="1" applyBorder="1" applyAlignment="1">
      <alignment horizontal="center"/>
    </xf>
    <xf numFmtId="0" fontId="12" fillId="8" borderId="1"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topLeftCell="A3" workbookViewId="0"/>
  </sheetViews>
  <sheetFormatPr defaultRowHeight="14.25" x14ac:dyDescent="0.45"/>
  <cols>
    <col min="1" max="1" width="100" customWidth="1"/>
  </cols>
  <sheetData>
    <row r="1" spans="1:1" ht="21" x14ac:dyDescent="0.65">
      <c r="A1" s="47" t="s">
        <v>0</v>
      </c>
    </row>
    <row r="3" spans="1:1" ht="346.5" x14ac:dyDescent="0.45">
      <c r="A3" s="48"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2"/>
  <sheetViews>
    <sheetView tabSelected="1" workbookViewId="0"/>
  </sheetViews>
  <sheetFormatPr defaultRowHeight="14.25" x14ac:dyDescent="0.45"/>
  <cols>
    <col min="1" max="1" width="28" customWidth="1"/>
    <col min="2" max="2" width="14.59765625" style="4" customWidth="1"/>
    <col min="3" max="3" width="14.59765625" customWidth="1"/>
  </cols>
  <sheetData>
    <row r="1" spans="1:11" s="49" customFormat="1" ht="18" x14ac:dyDescent="0.45">
      <c r="B1" s="56" t="s">
        <v>2</v>
      </c>
      <c r="C1" s="57"/>
    </row>
    <row r="2" spans="1:11" x14ac:dyDescent="0.45">
      <c r="A2" s="1" t="s">
        <v>3</v>
      </c>
      <c r="B2" s="65">
        <v>2025</v>
      </c>
      <c r="C2" s="61"/>
      <c r="D2" s="60">
        <v>2026</v>
      </c>
      <c r="E2" s="61"/>
      <c r="F2" s="60">
        <v>2027</v>
      </c>
      <c r="G2" s="61"/>
      <c r="H2" s="60">
        <v>2028</v>
      </c>
      <c r="I2" s="61"/>
      <c r="J2" s="60">
        <v>2029</v>
      </c>
      <c r="K2" s="61"/>
    </row>
    <row r="3" spans="1:11" x14ac:dyDescent="0.45">
      <c r="A3" s="3" t="s">
        <v>4</v>
      </c>
      <c r="B3" s="65">
        <v>81</v>
      </c>
      <c r="C3" s="61"/>
      <c r="D3" s="60">
        <v>82</v>
      </c>
      <c r="E3" s="61"/>
      <c r="F3" s="60">
        <v>83</v>
      </c>
      <c r="G3" s="61"/>
      <c r="H3" s="60">
        <v>84</v>
      </c>
      <c r="I3" s="61"/>
      <c r="J3" s="60">
        <v>85</v>
      </c>
      <c r="K3" s="61"/>
    </row>
    <row r="4" spans="1:11" ht="18" x14ac:dyDescent="0.55000000000000004">
      <c r="B4" s="58" t="s">
        <v>5</v>
      </c>
      <c r="C4" s="59"/>
    </row>
    <row r="5" spans="1:11" x14ac:dyDescent="0.45">
      <c r="A5" s="1" t="s">
        <v>6</v>
      </c>
      <c r="B5" s="5" t="s">
        <v>7</v>
      </c>
      <c r="C5" s="3" t="s">
        <v>8</v>
      </c>
    </row>
    <row r="6" spans="1:11" x14ac:dyDescent="0.45">
      <c r="A6" s="1" t="s">
        <v>9</v>
      </c>
      <c r="C6" s="4"/>
    </row>
    <row r="7" spans="1:11" x14ac:dyDescent="0.45">
      <c r="A7" s="2" t="s">
        <v>10</v>
      </c>
      <c r="C7" s="4"/>
    </row>
    <row r="8" spans="1:11" x14ac:dyDescent="0.45">
      <c r="A8" s="1" t="s">
        <v>11</v>
      </c>
      <c r="B8" s="51">
        <v>30000</v>
      </c>
      <c r="C8" s="51">
        <v>30000</v>
      </c>
    </row>
    <row r="9" spans="1:11" x14ac:dyDescent="0.45">
      <c r="A9" s="1" t="s">
        <v>11</v>
      </c>
      <c r="B9" s="52">
        <v>20000</v>
      </c>
      <c r="C9" s="52">
        <v>20000</v>
      </c>
    </row>
    <row r="10" spans="1:11" x14ac:dyDescent="0.45">
      <c r="A10" s="1" t="s">
        <v>12</v>
      </c>
      <c r="B10" s="11">
        <f>SUM(B8:B9)</f>
        <v>50000</v>
      </c>
      <c r="C10" s="11">
        <f>SUM(C8:C9)</f>
        <v>50000</v>
      </c>
    </row>
    <row r="11" spans="1:11" x14ac:dyDescent="0.45">
      <c r="A11" s="2" t="s">
        <v>13</v>
      </c>
      <c r="C11" s="4"/>
    </row>
    <row r="12" spans="1:11" x14ac:dyDescent="0.45">
      <c r="A12" s="1" t="s">
        <v>11</v>
      </c>
      <c r="B12" s="51">
        <v>15000</v>
      </c>
      <c r="C12" s="51">
        <v>15000</v>
      </c>
    </row>
    <row r="13" spans="1:11" x14ac:dyDescent="0.45">
      <c r="A13" s="1" t="s">
        <v>11</v>
      </c>
      <c r="B13" s="51">
        <v>15000</v>
      </c>
      <c r="C13" s="51">
        <v>15000</v>
      </c>
    </row>
    <row r="14" spans="1:11" x14ac:dyDescent="0.45">
      <c r="A14" s="1" t="s">
        <v>11</v>
      </c>
      <c r="B14" s="51">
        <v>15000</v>
      </c>
      <c r="C14" s="51">
        <v>15000</v>
      </c>
    </row>
    <row r="15" spans="1:11" x14ac:dyDescent="0.45">
      <c r="A15" s="1" t="s">
        <v>14</v>
      </c>
      <c r="B15" s="11">
        <f>SUM(B12:B14)</f>
        <v>45000</v>
      </c>
      <c r="C15" s="11">
        <f>SUM(C12:C14)</f>
        <v>45000</v>
      </c>
    </row>
    <row r="16" spans="1:11" x14ac:dyDescent="0.45">
      <c r="A16" s="2" t="s">
        <v>15</v>
      </c>
      <c r="C16" s="4"/>
    </row>
    <row r="17" spans="1:3" x14ac:dyDescent="0.45">
      <c r="A17" s="6" t="s">
        <v>16</v>
      </c>
      <c r="B17" s="51">
        <v>1500</v>
      </c>
      <c r="C17" s="51">
        <v>1500</v>
      </c>
    </row>
    <row r="18" spans="1:3" x14ac:dyDescent="0.45">
      <c r="A18" s="6" t="s">
        <v>16</v>
      </c>
      <c r="B18" s="51">
        <v>1500</v>
      </c>
      <c r="C18" s="51">
        <v>1500</v>
      </c>
    </row>
    <row r="19" spans="1:3" x14ac:dyDescent="0.45">
      <c r="A19" s="6" t="s">
        <v>17</v>
      </c>
      <c r="B19" s="51">
        <v>1500</v>
      </c>
      <c r="C19" s="51">
        <v>1500</v>
      </c>
    </row>
    <row r="20" spans="1:3" x14ac:dyDescent="0.45">
      <c r="A20" s="6" t="s">
        <v>17</v>
      </c>
      <c r="B20" s="51">
        <v>1500</v>
      </c>
      <c r="C20" s="51">
        <v>1500</v>
      </c>
    </row>
    <row r="21" spans="1:3" x14ac:dyDescent="0.45">
      <c r="A21" s="6" t="s">
        <v>18</v>
      </c>
      <c r="B21" s="51">
        <v>1500</v>
      </c>
      <c r="C21" s="51">
        <v>1500</v>
      </c>
    </row>
    <row r="22" spans="1:3" x14ac:dyDescent="0.45">
      <c r="A22" s="7" t="s">
        <v>19</v>
      </c>
      <c r="B22" s="45">
        <f>SUM(B17:B21)</f>
        <v>7500</v>
      </c>
      <c r="C22" s="45">
        <f>SUM(C17:C21)</f>
        <v>7500</v>
      </c>
    </row>
    <row r="23" spans="1:3" x14ac:dyDescent="0.45">
      <c r="A23" s="7" t="s">
        <v>20</v>
      </c>
      <c r="B23" s="11">
        <f>SUM(B10,B15,B22)</f>
        <v>102500</v>
      </c>
      <c r="C23" s="11">
        <f>SUM(C10,C15,C22)</f>
        <v>102500</v>
      </c>
    </row>
    <row r="24" spans="1:3" x14ac:dyDescent="0.45">
      <c r="C24" s="4"/>
    </row>
    <row r="25" spans="1:3" s="7" customFormat="1" x14ac:dyDescent="0.45">
      <c r="A25" s="7" t="s">
        <v>21</v>
      </c>
      <c r="B25" s="8"/>
      <c r="C25" s="8"/>
    </row>
    <row r="26" spans="1:3" s="7" customFormat="1" x14ac:dyDescent="0.45">
      <c r="A26" s="6" t="s">
        <v>22</v>
      </c>
      <c r="B26" s="51">
        <v>7500</v>
      </c>
      <c r="C26" s="51">
        <v>7500</v>
      </c>
    </row>
    <row r="27" spans="1:3" s="7" customFormat="1" x14ac:dyDescent="0.45">
      <c r="A27" s="6" t="s">
        <v>22</v>
      </c>
      <c r="B27" s="53">
        <v>3500</v>
      </c>
      <c r="C27" s="53">
        <v>3500</v>
      </c>
    </row>
    <row r="28" spans="1:3" s="7" customFormat="1" ht="11.25" customHeight="1" x14ac:dyDescent="0.45">
      <c r="A28" s="9" t="s">
        <v>23</v>
      </c>
      <c r="B28" s="12">
        <f>SUM(B26:B27)</f>
        <v>11000</v>
      </c>
      <c r="C28" s="12">
        <f>SUM(C26:C27)</f>
        <v>11000</v>
      </c>
    </row>
    <row r="29" spans="1:3" s="7" customFormat="1" x14ac:dyDescent="0.45">
      <c r="A29" s="9" t="s">
        <v>24</v>
      </c>
      <c r="B29" s="62"/>
      <c r="C29" s="63"/>
    </row>
    <row r="30" spans="1:3" s="7" customFormat="1" ht="11.45" customHeight="1" x14ac:dyDescent="0.45">
      <c r="A30" s="6" t="s">
        <v>25</v>
      </c>
      <c r="B30" s="63"/>
      <c r="C30" s="63"/>
    </row>
    <row r="31" spans="1:3" s="7" customFormat="1" ht="0.3" customHeight="1" x14ac:dyDescent="0.45">
      <c r="A31" s="6"/>
      <c r="B31" s="63"/>
      <c r="C31" s="63"/>
    </row>
    <row r="32" spans="1:3" x14ac:dyDescent="0.45">
      <c r="B32" s="64"/>
      <c r="C32" s="61"/>
    </row>
    <row r="33" spans="1:3" ht="5.25" customHeight="1" x14ac:dyDescent="0.45">
      <c r="A33" s="9"/>
    </row>
    <row r="36" spans="1:3" ht="0.2" customHeight="1" x14ac:dyDescent="0.45"/>
    <row r="37" spans="1:3" x14ac:dyDescent="0.45">
      <c r="A37" s="1" t="s">
        <v>26</v>
      </c>
      <c r="B37" s="7"/>
      <c r="C37" s="7"/>
    </row>
    <row r="38" spans="1:3" x14ac:dyDescent="0.45">
      <c r="A38" t="s">
        <v>27</v>
      </c>
      <c r="B38" s="52">
        <v>9000</v>
      </c>
      <c r="C38" s="52">
        <v>9000</v>
      </c>
    </row>
    <row r="39" spans="1:3" x14ac:dyDescent="0.45">
      <c r="A39" t="s">
        <v>28</v>
      </c>
      <c r="B39" s="52">
        <v>3000</v>
      </c>
      <c r="C39" s="52">
        <v>3000</v>
      </c>
    </row>
    <row r="40" spans="1:3" x14ac:dyDescent="0.45">
      <c r="A40" t="s">
        <v>29</v>
      </c>
      <c r="B40" s="52">
        <v>10400</v>
      </c>
      <c r="C40" s="52">
        <v>10400</v>
      </c>
    </row>
    <row r="41" spans="1:3" x14ac:dyDescent="0.45">
      <c r="A41" t="s">
        <v>30</v>
      </c>
      <c r="B41" s="52">
        <v>0</v>
      </c>
      <c r="C41" s="52">
        <v>0</v>
      </c>
    </row>
    <row r="42" spans="1:3" x14ac:dyDescent="0.45">
      <c r="A42" t="s">
        <v>31</v>
      </c>
      <c r="B42" s="52">
        <v>2500</v>
      </c>
      <c r="C42" s="52">
        <v>2500</v>
      </c>
    </row>
    <row r="43" spans="1:3" x14ac:dyDescent="0.45">
      <c r="A43" t="s">
        <v>32</v>
      </c>
      <c r="B43" s="52">
        <v>8000</v>
      </c>
      <c r="C43" s="52">
        <v>8000</v>
      </c>
    </row>
    <row r="44" spans="1:3" x14ac:dyDescent="0.45">
      <c r="A44" t="s">
        <v>33</v>
      </c>
      <c r="B44" s="52">
        <v>5000</v>
      </c>
      <c r="C44" s="52">
        <v>5000</v>
      </c>
    </row>
    <row r="45" spans="1:3" x14ac:dyDescent="0.45">
      <c r="A45" t="s">
        <v>34</v>
      </c>
      <c r="B45" s="52">
        <v>12000</v>
      </c>
      <c r="C45" s="52">
        <v>12000</v>
      </c>
    </row>
    <row r="46" spans="1:3" x14ac:dyDescent="0.45">
      <c r="A46" t="s">
        <v>35</v>
      </c>
      <c r="B46" s="52">
        <v>6000</v>
      </c>
      <c r="C46" s="52">
        <v>6000</v>
      </c>
    </row>
    <row r="47" spans="1:3" x14ac:dyDescent="0.45">
      <c r="A47" t="s">
        <v>36</v>
      </c>
      <c r="B47" s="52">
        <v>2400</v>
      </c>
      <c r="C47" s="52">
        <v>2400</v>
      </c>
    </row>
    <row r="48" spans="1:3" x14ac:dyDescent="0.45">
      <c r="A48" t="s">
        <v>37</v>
      </c>
      <c r="B48" s="52">
        <v>1200</v>
      </c>
      <c r="C48" s="52">
        <v>1200</v>
      </c>
    </row>
    <row r="49" spans="1:3" x14ac:dyDescent="0.45">
      <c r="A49" t="s">
        <v>38</v>
      </c>
      <c r="B49" s="54">
        <v>22000</v>
      </c>
      <c r="C49" s="54">
        <v>22000</v>
      </c>
    </row>
    <row r="50" spans="1:3" x14ac:dyDescent="0.45">
      <c r="A50" t="s">
        <v>39</v>
      </c>
      <c r="B50" s="54">
        <v>2500</v>
      </c>
      <c r="C50" s="54">
        <v>2500</v>
      </c>
    </row>
    <row r="51" spans="1:3" x14ac:dyDescent="0.45">
      <c r="A51" t="s">
        <v>40</v>
      </c>
      <c r="B51" s="54">
        <v>2000</v>
      </c>
      <c r="C51" s="54">
        <v>2000</v>
      </c>
    </row>
    <row r="52" spans="1:3" ht="0.3" customHeight="1" x14ac:dyDescent="0.45">
      <c r="A52" t="s">
        <v>41</v>
      </c>
      <c r="B52" s="54">
        <v>0</v>
      </c>
      <c r="C52" s="54">
        <v>0</v>
      </c>
    </row>
    <row r="53" spans="1:3" x14ac:dyDescent="0.45">
      <c r="A53" s="33" t="s">
        <v>42</v>
      </c>
      <c r="B53" s="54">
        <v>40000</v>
      </c>
      <c r="C53" s="54">
        <v>40000</v>
      </c>
    </row>
    <row r="54" spans="1:3" x14ac:dyDescent="0.45">
      <c r="A54" t="s">
        <v>43</v>
      </c>
      <c r="B54" s="54">
        <v>5000</v>
      </c>
      <c r="C54" s="54">
        <v>5000</v>
      </c>
    </row>
    <row r="55" spans="1:3" x14ac:dyDescent="0.45">
      <c r="A55" s="7" t="s">
        <v>44</v>
      </c>
      <c r="B55" s="11">
        <f>SUM(B38:B54)</f>
        <v>131000</v>
      </c>
      <c r="C55" s="11">
        <f>SUM(C38:C54)</f>
        <v>131000</v>
      </c>
    </row>
    <row r="57" spans="1:3" x14ac:dyDescent="0.45">
      <c r="A57" s="1" t="s">
        <v>45</v>
      </c>
      <c r="B57" s="8"/>
      <c r="C57" s="7"/>
    </row>
    <row r="58" spans="1:3" x14ac:dyDescent="0.45">
      <c r="A58" t="s">
        <v>46</v>
      </c>
      <c r="B58" s="10">
        <f>B23-B55</f>
        <v>-28500</v>
      </c>
      <c r="C58" s="10">
        <f>C23-C55</f>
        <v>-28500</v>
      </c>
    </row>
    <row r="59" spans="1:3" x14ac:dyDescent="0.45">
      <c r="A59" t="s">
        <v>47</v>
      </c>
      <c r="B59" s="10">
        <f>B23*0.05</f>
        <v>5125</v>
      </c>
      <c r="C59" s="10">
        <f>C23*0.05</f>
        <v>5125</v>
      </c>
    </row>
    <row r="60" spans="1:3" x14ac:dyDescent="0.45">
      <c r="A60" t="s">
        <v>48</v>
      </c>
      <c r="B60" s="52">
        <v>7595</v>
      </c>
      <c r="C60" s="52">
        <v>7595</v>
      </c>
    </row>
    <row r="61" spans="1:3" x14ac:dyDescent="0.45">
      <c r="A61" t="s">
        <v>49</v>
      </c>
      <c r="B61" s="10">
        <f>B58-B60</f>
        <v>-36095</v>
      </c>
      <c r="C61" s="10">
        <f>C58-C60</f>
        <v>-36095</v>
      </c>
    </row>
    <row r="62" spans="1:3" x14ac:dyDescent="0.45">
      <c r="A62" s="7" t="s">
        <v>50</v>
      </c>
      <c r="B62" s="27">
        <f>IF(B55=0,"",B61/B55)</f>
        <v>-0.27553435114503816</v>
      </c>
      <c r="C62" s="27">
        <f>IF(C55=0,"",C61/C55)</f>
        <v>-0.27553435114503816</v>
      </c>
    </row>
  </sheetData>
  <mergeCells count="13">
    <mergeCell ref="B29:C32"/>
    <mergeCell ref="B2:C2"/>
    <mergeCell ref="F2:G2"/>
    <mergeCell ref="F3:G3"/>
    <mergeCell ref="B3:C3"/>
    <mergeCell ref="D3:E3"/>
    <mergeCell ref="D2:E2"/>
    <mergeCell ref="B1:C1"/>
    <mergeCell ref="B4:C4"/>
    <mergeCell ref="J3:K3"/>
    <mergeCell ref="H2:I2"/>
    <mergeCell ref="J2:K2"/>
    <mergeCell ref="H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4"/>
  <sheetViews>
    <sheetView workbookViewId="0"/>
  </sheetViews>
  <sheetFormatPr defaultRowHeight="14.25" x14ac:dyDescent="0.45"/>
  <cols>
    <col min="1" max="1" width="34" customWidth="1"/>
    <col min="2" max="3" width="18" customWidth="1"/>
    <col min="4" max="4" width="42" customWidth="1"/>
    <col min="6" max="7" width="24" customWidth="1"/>
  </cols>
  <sheetData>
    <row r="1" spans="1:7" ht="22.9" customHeight="1" x14ac:dyDescent="0.85">
      <c r="A1" s="13" t="s">
        <v>51</v>
      </c>
      <c r="B1" s="34">
        <v>2025</v>
      </c>
      <c r="C1" s="34"/>
      <c r="D1" s="13"/>
      <c r="F1" s="46" t="s">
        <v>52</v>
      </c>
      <c r="G1" s="22"/>
    </row>
    <row r="2" spans="1:7" x14ac:dyDescent="0.45">
      <c r="A2" s="14"/>
      <c r="B2" s="14" t="s">
        <v>7</v>
      </c>
      <c r="C2" s="14" t="s">
        <v>8</v>
      </c>
      <c r="D2" s="14" t="s">
        <v>53</v>
      </c>
      <c r="F2" s="7" t="s">
        <v>54</v>
      </c>
      <c r="G2" s="10">
        <f>B18</f>
        <v>102500</v>
      </c>
    </row>
    <row r="3" spans="1:7" x14ac:dyDescent="0.45">
      <c r="A3" s="15" t="s">
        <v>55</v>
      </c>
      <c r="B3" s="15"/>
      <c r="C3" s="15"/>
      <c r="D3" s="15" t="s">
        <v>56</v>
      </c>
      <c r="F3" s="7" t="s">
        <v>57</v>
      </c>
      <c r="G3" s="10">
        <f>B24</f>
        <v>11000</v>
      </c>
    </row>
    <row r="4" spans="1:7" x14ac:dyDescent="0.45">
      <c r="A4" s="50" t="s">
        <v>58</v>
      </c>
      <c r="B4" s="17">
        <f>'Retirement Cash Flow'!B8</f>
        <v>30000</v>
      </c>
      <c r="C4" s="17">
        <f>'Retirement Cash Flow'!C8</f>
        <v>30000</v>
      </c>
      <c r="D4" s="16"/>
      <c r="F4" s="7" t="s">
        <v>59</v>
      </c>
      <c r="G4" s="10">
        <f>B25</f>
        <v>113500</v>
      </c>
    </row>
    <row r="5" spans="1:7" x14ac:dyDescent="0.45">
      <c r="A5" s="50" t="s">
        <v>58</v>
      </c>
      <c r="B5" s="17">
        <f>'Retirement Cash Flow'!B9</f>
        <v>20000</v>
      </c>
      <c r="C5" s="17">
        <f>'Retirement Cash Flow'!C9</f>
        <v>20000</v>
      </c>
      <c r="D5" s="16"/>
      <c r="F5" s="7" t="s">
        <v>44</v>
      </c>
      <c r="G5" s="10">
        <f>B45</f>
        <v>131000</v>
      </c>
    </row>
    <row r="6" spans="1:7" x14ac:dyDescent="0.45">
      <c r="A6" s="18" t="s">
        <v>12</v>
      </c>
      <c r="B6" s="19">
        <f>B4+B5</f>
        <v>50000</v>
      </c>
      <c r="C6" s="19">
        <f>C4+C5</f>
        <v>50000</v>
      </c>
      <c r="D6" s="18"/>
      <c r="F6" s="7" t="s">
        <v>60</v>
      </c>
      <c r="G6" s="10">
        <f t="shared" ref="G6:G12" si="0">B48</f>
        <v>-28500</v>
      </c>
    </row>
    <row r="7" spans="1:7" x14ac:dyDescent="0.45">
      <c r="A7" s="50" t="s">
        <v>61</v>
      </c>
      <c r="B7" s="17">
        <f>'Retirement Cash Flow'!B12</f>
        <v>15000</v>
      </c>
      <c r="C7" s="17">
        <f>'Retirement Cash Flow'!C12</f>
        <v>15000</v>
      </c>
      <c r="D7" s="16"/>
      <c r="F7" s="7" t="s">
        <v>62</v>
      </c>
      <c r="G7" s="10">
        <f t="shared" si="0"/>
        <v>-17500</v>
      </c>
    </row>
    <row r="8" spans="1:7" x14ac:dyDescent="0.45">
      <c r="A8" s="50" t="s">
        <v>61</v>
      </c>
      <c r="B8" s="17">
        <f>'Retirement Cash Flow'!B13</f>
        <v>15000</v>
      </c>
      <c r="C8" s="17">
        <f>'Retirement Cash Flow'!C13</f>
        <v>15000</v>
      </c>
      <c r="D8" s="16"/>
      <c r="F8" s="7" t="s">
        <v>47</v>
      </c>
      <c r="G8" s="10">
        <f t="shared" si="0"/>
        <v>5125</v>
      </c>
    </row>
    <row r="9" spans="1:7" x14ac:dyDescent="0.45">
      <c r="A9" s="50" t="s">
        <v>61</v>
      </c>
      <c r="B9" s="17">
        <f>'Retirement Cash Flow'!B14</f>
        <v>15000</v>
      </c>
      <c r="C9" s="17">
        <f>'Retirement Cash Flow'!C14</f>
        <v>15000</v>
      </c>
      <c r="D9" s="16"/>
      <c r="F9" s="7" t="s">
        <v>63</v>
      </c>
      <c r="G9" s="10">
        <f t="shared" si="0"/>
        <v>7595</v>
      </c>
    </row>
    <row r="10" spans="1:7" x14ac:dyDescent="0.45">
      <c r="A10" s="18" t="s">
        <v>14</v>
      </c>
      <c r="B10" s="19">
        <f>SUM(B7:B9)</f>
        <v>45000</v>
      </c>
      <c r="C10" s="19">
        <f>SUM(C7:C9)</f>
        <v>45000</v>
      </c>
      <c r="D10" s="18"/>
      <c r="F10" s="7" t="s">
        <v>49</v>
      </c>
      <c r="G10" s="10">
        <f t="shared" si="0"/>
        <v>-36095</v>
      </c>
    </row>
    <row r="11" spans="1:7" x14ac:dyDescent="0.45">
      <c r="A11" s="50" t="s">
        <v>16</v>
      </c>
      <c r="B11" s="17">
        <f>'Retirement Cash Flow'!B17</f>
        <v>1500</v>
      </c>
      <c r="C11" s="17">
        <f>'Retirement Cash Flow'!C17</f>
        <v>1500</v>
      </c>
      <c r="D11" s="16"/>
      <c r="F11" s="7" t="s">
        <v>64</v>
      </c>
      <c r="G11" s="23">
        <f t="shared" si="0"/>
        <v>7.4097560975609753E-2</v>
      </c>
    </row>
    <row r="12" spans="1:7" x14ac:dyDescent="0.45">
      <c r="A12" s="50" t="s">
        <v>16</v>
      </c>
      <c r="B12" s="17">
        <f>'Retirement Cash Flow'!B18</f>
        <v>1500</v>
      </c>
      <c r="C12" s="17">
        <f>'Retirement Cash Flow'!C18</f>
        <v>1500</v>
      </c>
      <c r="D12" s="16"/>
      <c r="F12" s="7" t="s">
        <v>65</v>
      </c>
      <c r="G12" s="23">
        <f t="shared" si="0"/>
        <v>9.6916299559471369E-2</v>
      </c>
    </row>
    <row r="13" spans="1:7" x14ac:dyDescent="0.45">
      <c r="A13" s="50" t="s">
        <v>66</v>
      </c>
      <c r="B13" s="17">
        <f>'Retirement Cash Flow'!B19</f>
        <v>1500</v>
      </c>
      <c r="C13" s="17">
        <f>'Retirement Cash Flow'!C19</f>
        <v>1500</v>
      </c>
      <c r="D13" s="16"/>
      <c r="F13" t="s">
        <v>50</v>
      </c>
      <c r="G13" s="23">
        <f>IF(G5=0,"-",G10/G5)</f>
        <v>-0.27553435114503816</v>
      </c>
    </row>
    <row r="14" spans="1:7" x14ac:dyDescent="0.45">
      <c r="A14" s="50" t="s">
        <v>66</v>
      </c>
      <c r="B14" s="17">
        <f>'Retirement Cash Flow'!B20</f>
        <v>1500</v>
      </c>
      <c r="C14" s="17">
        <f>'Retirement Cash Flow'!C20</f>
        <v>1500</v>
      </c>
      <c r="D14" s="16"/>
    </row>
    <row r="15" spans="1:7" x14ac:dyDescent="0.45">
      <c r="A15" s="16" t="s">
        <v>67</v>
      </c>
      <c r="B15" s="17">
        <f>'Retirement Cash Flow'!B21</f>
        <v>1500</v>
      </c>
      <c r="C15" s="17">
        <f>'Retirement Cash Flow'!C21</f>
        <v>1500</v>
      </c>
      <c r="D15" s="16"/>
    </row>
    <row r="16" spans="1:7" x14ac:dyDescent="0.45">
      <c r="A16" s="18" t="s">
        <v>68</v>
      </c>
      <c r="B16" s="19">
        <f>'Retirement Cash Flow'!B22</f>
        <v>7500</v>
      </c>
      <c r="C16" s="19">
        <f>'Retirement Cash Flow'!C22</f>
        <v>7500</v>
      </c>
      <c r="D16" s="18"/>
    </row>
    <row r="17" spans="1:4" x14ac:dyDescent="0.45">
      <c r="A17" s="16" t="s">
        <v>69</v>
      </c>
      <c r="B17" s="17">
        <f>0</f>
        <v>0</v>
      </c>
      <c r="C17" s="17">
        <f>0</f>
        <v>0</v>
      </c>
      <c r="D17" s="16"/>
    </row>
    <row r="18" spans="1:4" x14ac:dyDescent="0.45">
      <c r="A18" s="18" t="s">
        <v>70</v>
      </c>
      <c r="B18" s="19">
        <f>'Retirement Cash Flow'!B23</f>
        <v>102500</v>
      </c>
      <c r="C18" s="19">
        <f>'Retirement Cash Flow'!C23</f>
        <v>102500</v>
      </c>
      <c r="D18" s="18" t="s">
        <v>71</v>
      </c>
    </row>
    <row r="19" spans="1:4" x14ac:dyDescent="0.45">
      <c r="A19" s="16"/>
      <c r="B19" s="17"/>
      <c r="C19" s="17"/>
      <c r="D19" s="16"/>
    </row>
    <row r="20" spans="1:4" x14ac:dyDescent="0.45">
      <c r="A20" s="15" t="s">
        <v>21</v>
      </c>
      <c r="B20" s="20"/>
      <c r="C20" s="20"/>
      <c r="D20" s="15" t="s">
        <v>72</v>
      </c>
    </row>
    <row r="21" spans="1:4" x14ac:dyDescent="0.45">
      <c r="A21" s="50" t="s">
        <v>73</v>
      </c>
      <c r="B21" s="17">
        <f>'Retirement Cash Flow'!B26</f>
        <v>7500</v>
      </c>
      <c r="C21" s="17">
        <f>'Retirement Cash Flow'!C26</f>
        <v>7500</v>
      </c>
      <c r="D21" s="16" t="s">
        <v>74</v>
      </c>
    </row>
    <row r="22" spans="1:4" x14ac:dyDescent="0.45">
      <c r="A22" s="50" t="s">
        <v>73</v>
      </c>
      <c r="B22" s="17">
        <f>'Retirement Cash Flow'!B27</f>
        <v>3500</v>
      </c>
      <c r="C22" s="17">
        <f>'Retirement Cash Flow'!C27</f>
        <v>3500</v>
      </c>
      <c r="D22" s="16" t="s">
        <v>74</v>
      </c>
    </row>
    <row r="23" spans="1:4" x14ac:dyDescent="0.45">
      <c r="A23" s="16" t="s">
        <v>75</v>
      </c>
      <c r="B23" s="17">
        <f>0</f>
        <v>0</v>
      </c>
      <c r="C23" s="17">
        <f>0</f>
        <v>0</v>
      </c>
      <c r="D23" s="16"/>
    </row>
    <row r="24" spans="1:4" x14ac:dyDescent="0.45">
      <c r="A24" s="18" t="s">
        <v>76</v>
      </c>
      <c r="B24" s="19">
        <f>'Retirement Cash Flow'!B28</f>
        <v>11000</v>
      </c>
      <c r="C24" s="19">
        <f>'Retirement Cash Flow'!C28</f>
        <v>11000</v>
      </c>
      <c r="D24" s="18"/>
    </row>
    <row r="25" spans="1:4" x14ac:dyDescent="0.45">
      <c r="A25" s="18" t="s">
        <v>77</v>
      </c>
      <c r="B25" s="19">
        <f>B18+B24</f>
        <v>113500</v>
      </c>
      <c r="C25" s="19">
        <f>C18+C24</f>
        <v>113500</v>
      </c>
      <c r="D25" s="18" t="s">
        <v>78</v>
      </c>
    </row>
    <row r="26" spans="1:4" x14ac:dyDescent="0.45">
      <c r="A26" s="16"/>
      <c r="B26" s="17"/>
      <c r="C26" s="17"/>
      <c r="D26" s="16"/>
    </row>
    <row r="27" spans="1:4" x14ac:dyDescent="0.45">
      <c r="A27" s="15" t="s">
        <v>26</v>
      </c>
      <c r="B27" s="20"/>
      <c r="C27" s="20"/>
      <c r="D27" s="15" t="s">
        <v>79</v>
      </c>
    </row>
    <row r="28" spans="1:4" x14ac:dyDescent="0.45">
      <c r="A28" s="16" t="s">
        <v>27</v>
      </c>
      <c r="B28" s="17">
        <f>'Retirement Cash Flow'!B38</f>
        <v>9000</v>
      </c>
      <c r="C28" s="17">
        <f>'Retirement Cash Flow'!C38</f>
        <v>9000</v>
      </c>
      <c r="D28" s="16"/>
    </row>
    <row r="29" spans="1:4" x14ac:dyDescent="0.45">
      <c r="A29" s="16" t="s">
        <v>28</v>
      </c>
      <c r="B29" s="17">
        <f>'Retirement Cash Flow'!B39</f>
        <v>3000</v>
      </c>
      <c r="C29" s="17">
        <f>'Retirement Cash Flow'!C39</f>
        <v>3000</v>
      </c>
      <c r="D29" s="16"/>
    </row>
    <row r="30" spans="1:4" x14ac:dyDescent="0.45">
      <c r="A30" s="16" t="s">
        <v>29</v>
      </c>
      <c r="B30" s="17">
        <f>'Retirement Cash Flow'!B40</f>
        <v>10400</v>
      </c>
      <c r="C30" s="17">
        <f>'Retirement Cash Flow'!C40</f>
        <v>10400</v>
      </c>
      <c r="D30" s="16"/>
    </row>
    <row r="31" spans="1:4" x14ac:dyDescent="0.45">
      <c r="A31" s="16" t="s">
        <v>30</v>
      </c>
      <c r="B31" s="17">
        <f>'Retirement Cash Flow'!B41</f>
        <v>0</v>
      </c>
      <c r="C31" s="17">
        <f>'Retirement Cash Flow'!C41</f>
        <v>0</v>
      </c>
      <c r="D31" s="16"/>
    </row>
    <row r="32" spans="1:4" x14ac:dyDescent="0.45">
      <c r="A32" s="16" t="s">
        <v>31</v>
      </c>
      <c r="B32" s="17">
        <f>'Retirement Cash Flow'!B42</f>
        <v>2500</v>
      </c>
      <c r="C32" s="17">
        <f>'Retirement Cash Flow'!C42</f>
        <v>2500</v>
      </c>
      <c r="D32" s="16"/>
    </row>
    <row r="33" spans="1:4" x14ac:dyDescent="0.45">
      <c r="A33" s="16" t="s">
        <v>32</v>
      </c>
      <c r="B33" s="17">
        <f>'Retirement Cash Flow'!B43</f>
        <v>8000</v>
      </c>
      <c r="C33" s="17">
        <f>'Retirement Cash Flow'!C43</f>
        <v>8000</v>
      </c>
      <c r="D33" s="16"/>
    </row>
    <row r="34" spans="1:4" x14ac:dyDescent="0.45">
      <c r="A34" s="16" t="s">
        <v>33</v>
      </c>
      <c r="B34" s="17">
        <f>'Retirement Cash Flow'!B44</f>
        <v>5000</v>
      </c>
      <c r="C34" s="17">
        <f>'Retirement Cash Flow'!C44</f>
        <v>5000</v>
      </c>
      <c r="D34" s="16"/>
    </row>
    <row r="35" spans="1:4" x14ac:dyDescent="0.45">
      <c r="A35" s="16" t="s">
        <v>43</v>
      </c>
      <c r="B35" s="17">
        <f>'Retirement Cash Flow'!B54</f>
        <v>5000</v>
      </c>
      <c r="C35" s="17">
        <f>'Retirement Cash Flow'!C54</f>
        <v>5000</v>
      </c>
      <c r="D35" s="16" t="s">
        <v>80</v>
      </c>
    </row>
    <row r="36" spans="1:4" x14ac:dyDescent="0.45">
      <c r="A36" s="16" t="s">
        <v>34</v>
      </c>
      <c r="B36" s="17">
        <f>'Retirement Cash Flow'!B45</f>
        <v>12000</v>
      </c>
      <c r="C36" s="17">
        <f>'Retirement Cash Flow'!C45</f>
        <v>12000</v>
      </c>
      <c r="D36" s="16"/>
    </row>
    <row r="37" spans="1:4" x14ac:dyDescent="0.45">
      <c r="A37" s="16" t="s">
        <v>35</v>
      </c>
      <c r="B37" s="17">
        <f>'Retirement Cash Flow'!B46</f>
        <v>6000</v>
      </c>
      <c r="C37" s="17">
        <f>'Retirement Cash Flow'!C46</f>
        <v>6000</v>
      </c>
      <c r="D37" s="16"/>
    </row>
    <row r="38" spans="1:4" x14ac:dyDescent="0.45">
      <c r="A38" s="16" t="s">
        <v>36</v>
      </c>
      <c r="B38" s="17">
        <f>'Retirement Cash Flow'!B47</f>
        <v>2400</v>
      </c>
      <c r="C38" s="17">
        <f>'Retirement Cash Flow'!C47</f>
        <v>2400</v>
      </c>
      <c r="D38" s="16"/>
    </row>
    <row r="39" spans="1:4" x14ac:dyDescent="0.45">
      <c r="A39" s="16" t="s">
        <v>37</v>
      </c>
      <c r="B39" s="17">
        <f>'Retirement Cash Flow'!B48</f>
        <v>1200</v>
      </c>
      <c r="C39" s="17">
        <f>'Retirement Cash Flow'!C48</f>
        <v>1200</v>
      </c>
      <c r="D39" s="16"/>
    </row>
    <row r="40" spans="1:4" x14ac:dyDescent="0.45">
      <c r="A40" s="16" t="s">
        <v>38</v>
      </c>
      <c r="B40" s="17">
        <f>'Retirement Cash Flow'!B49</f>
        <v>22000</v>
      </c>
      <c r="C40" s="17">
        <f>'Retirement Cash Flow'!C49</f>
        <v>22000</v>
      </c>
      <c r="D40" s="16" t="s">
        <v>81</v>
      </c>
    </row>
    <row r="41" spans="1:4" x14ac:dyDescent="0.45">
      <c r="A41" s="16" t="s">
        <v>39</v>
      </c>
      <c r="B41" s="17">
        <f>'Retirement Cash Flow'!B50</f>
        <v>2500</v>
      </c>
      <c r="C41" s="17">
        <f>'Retirement Cash Flow'!C50</f>
        <v>2500</v>
      </c>
      <c r="D41" s="16" t="s">
        <v>81</v>
      </c>
    </row>
    <row r="42" spans="1:4" x14ac:dyDescent="0.45">
      <c r="A42" s="16" t="s">
        <v>40</v>
      </c>
      <c r="B42" s="17">
        <f>'Retirement Cash Flow'!B51</f>
        <v>2000</v>
      </c>
      <c r="C42" s="17">
        <f>'Retirement Cash Flow'!C51</f>
        <v>2000</v>
      </c>
      <c r="D42" s="16" t="s">
        <v>81</v>
      </c>
    </row>
    <row r="43" spans="1:4" x14ac:dyDescent="0.45">
      <c r="A43" s="16" t="s">
        <v>41</v>
      </c>
      <c r="B43" s="17">
        <f>'Retirement Cash Flow'!B52</f>
        <v>0</v>
      </c>
      <c r="C43" s="17">
        <f>'Retirement Cash Flow'!C52</f>
        <v>0</v>
      </c>
      <c r="D43" s="16"/>
    </row>
    <row r="44" spans="1:4" x14ac:dyDescent="0.45">
      <c r="A44" s="16" t="s">
        <v>82</v>
      </c>
      <c r="B44" s="17">
        <f>'Retirement Cash Flow'!B53</f>
        <v>40000</v>
      </c>
      <c r="C44" s="17">
        <f>'Retirement Cash Flow'!C53</f>
        <v>40000</v>
      </c>
      <c r="D44" s="16"/>
    </row>
    <row r="45" spans="1:4" x14ac:dyDescent="0.45">
      <c r="A45" s="18" t="s">
        <v>83</v>
      </c>
      <c r="B45" s="19">
        <f>'Retirement Cash Flow'!B55</f>
        <v>131000</v>
      </c>
      <c r="C45" s="19">
        <f>'Retirement Cash Flow'!C55</f>
        <v>131000</v>
      </c>
      <c r="D45" s="18"/>
    </row>
    <row r="46" spans="1:4" x14ac:dyDescent="0.45">
      <c r="A46" s="16"/>
      <c r="B46" s="17"/>
      <c r="C46" s="17"/>
      <c r="D46" s="16"/>
    </row>
    <row r="47" spans="1:4" x14ac:dyDescent="0.45">
      <c r="A47" s="15" t="s">
        <v>45</v>
      </c>
      <c r="B47" s="20"/>
      <c r="C47" s="20"/>
      <c r="D47" s="15"/>
    </row>
    <row r="48" spans="1:4" x14ac:dyDescent="0.45">
      <c r="A48" s="18" t="s">
        <v>60</v>
      </c>
      <c r="B48" s="19">
        <f>B18-B45</f>
        <v>-28500</v>
      </c>
      <c r="C48" s="19">
        <f>C18-C45</f>
        <v>-28500</v>
      </c>
      <c r="D48" s="18" t="s">
        <v>84</v>
      </c>
    </row>
    <row r="49" spans="1:4" x14ac:dyDescent="0.45">
      <c r="A49" s="18" t="s">
        <v>85</v>
      </c>
      <c r="B49" s="19">
        <f>B25-B45</f>
        <v>-17500</v>
      </c>
      <c r="C49" s="19">
        <f>C25-C45</f>
        <v>-17500</v>
      </c>
      <c r="D49" s="18" t="s">
        <v>86</v>
      </c>
    </row>
    <row r="50" spans="1:4" x14ac:dyDescent="0.45">
      <c r="A50" s="18" t="s">
        <v>47</v>
      </c>
      <c r="B50" s="19">
        <f>B18*0.05</f>
        <v>5125</v>
      </c>
      <c r="C50" s="19">
        <f>C18*0.05</f>
        <v>5125</v>
      </c>
      <c r="D50" s="18" t="s">
        <v>87</v>
      </c>
    </row>
    <row r="51" spans="1:4" x14ac:dyDescent="0.45">
      <c r="A51" s="16" t="s">
        <v>63</v>
      </c>
      <c r="B51" s="17">
        <f>'Retirement Cash Flow'!B60</f>
        <v>7595</v>
      </c>
      <c r="C51" s="17">
        <f>'Retirement Cash Flow'!C60</f>
        <v>7595</v>
      </c>
      <c r="D51" s="16" t="s">
        <v>88</v>
      </c>
    </row>
    <row r="52" spans="1:4" x14ac:dyDescent="0.45">
      <c r="A52" s="18" t="s">
        <v>89</v>
      </c>
      <c r="B52" s="19">
        <f>B48-B51</f>
        <v>-36095</v>
      </c>
      <c r="C52" s="19">
        <f>C48-C51</f>
        <v>-36095</v>
      </c>
      <c r="D52" s="18" t="s">
        <v>90</v>
      </c>
    </row>
    <row r="53" spans="1:4" x14ac:dyDescent="0.45">
      <c r="A53" s="18" t="s">
        <v>64</v>
      </c>
      <c r="B53" s="21">
        <f>IF(B18=0,"-",B51/B18)</f>
        <v>7.4097560975609753E-2</v>
      </c>
      <c r="C53" s="21">
        <f>IF(C18=0,"-",C51/C18)</f>
        <v>7.4097560975609753E-2</v>
      </c>
      <c r="D53" s="18" t="s">
        <v>91</v>
      </c>
    </row>
    <row r="54" spans="1:4" x14ac:dyDescent="0.45">
      <c r="A54" s="18" t="s">
        <v>92</v>
      </c>
      <c r="B54" s="21">
        <f>IF(B25=0,"-",B24/B25)</f>
        <v>9.6916299559471369E-2</v>
      </c>
      <c r="C54" s="21">
        <f>IF(C25=0,"-",C24/C25)</f>
        <v>9.6916299559471369E-2</v>
      </c>
      <c r="D54" s="18"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6"/>
  <sheetViews>
    <sheetView workbookViewId="0"/>
  </sheetViews>
  <sheetFormatPr defaultRowHeight="14.25" x14ac:dyDescent="0.45"/>
  <cols>
    <col min="1" max="1" width="34" customWidth="1"/>
    <col min="2" max="6" width="14" customWidth="1"/>
    <col min="7" max="7" width="38" customWidth="1"/>
  </cols>
  <sheetData>
    <row r="1" spans="1:7" ht="21.95" customHeight="1" x14ac:dyDescent="0.45">
      <c r="A1" s="24" t="s">
        <v>94</v>
      </c>
      <c r="B1" s="35"/>
      <c r="C1" s="35"/>
      <c r="D1" s="24"/>
      <c r="E1" s="24"/>
      <c r="F1" s="24"/>
    </row>
    <row r="3" spans="1:7" x14ac:dyDescent="0.45">
      <c r="A3" s="25" t="s">
        <v>6</v>
      </c>
      <c r="B3" s="25" t="s">
        <v>95</v>
      </c>
      <c r="C3" s="25" t="s">
        <v>96</v>
      </c>
      <c r="D3" s="25" t="s">
        <v>97</v>
      </c>
      <c r="E3" s="25" t="s">
        <v>98</v>
      </c>
      <c r="F3" s="25" t="s">
        <v>99</v>
      </c>
      <c r="G3" s="25" t="s">
        <v>53</v>
      </c>
    </row>
    <row r="4" spans="1:7" x14ac:dyDescent="0.45">
      <c r="A4" s="26" t="s">
        <v>100</v>
      </c>
      <c r="B4" s="26"/>
      <c r="C4" s="26"/>
      <c r="D4" s="26"/>
      <c r="E4" s="26"/>
      <c r="F4" s="26"/>
      <c r="G4" s="26"/>
    </row>
    <row r="5" spans="1:7" x14ac:dyDescent="0.45">
      <c r="A5" t="s">
        <v>101</v>
      </c>
      <c r="B5" s="52">
        <v>25000</v>
      </c>
      <c r="C5" s="52"/>
      <c r="D5" s="52"/>
      <c r="E5" s="52"/>
      <c r="F5" s="52"/>
      <c r="G5" t="s">
        <v>102</v>
      </c>
    </row>
    <row r="6" spans="1:7" x14ac:dyDescent="0.45">
      <c r="A6" s="33" t="s">
        <v>103</v>
      </c>
      <c r="B6" s="52">
        <v>25000</v>
      </c>
      <c r="C6" s="52"/>
      <c r="D6" s="52"/>
      <c r="E6" s="52"/>
      <c r="F6" s="52"/>
      <c r="G6" t="s">
        <v>104</v>
      </c>
    </row>
    <row r="7" spans="1:7" x14ac:dyDescent="0.45">
      <c r="A7" s="33" t="s">
        <v>103</v>
      </c>
      <c r="B7" s="52">
        <v>25000</v>
      </c>
      <c r="C7" s="52"/>
      <c r="D7" s="52"/>
      <c r="E7" s="52"/>
      <c r="F7" s="52"/>
      <c r="G7" t="s">
        <v>105</v>
      </c>
    </row>
    <row r="8" spans="1:7" x14ac:dyDescent="0.45">
      <c r="A8" s="33" t="s">
        <v>106</v>
      </c>
      <c r="B8" s="52">
        <v>25000</v>
      </c>
      <c r="C8" s="52"/>
      <c r="D8" s="52"/>
      <c r="E8" s="52"/>
      <c r="F8" s="52"/>
      <c r="G8" t="s">
        <v>107</v>
      </c>
    </row>
    <row r="9" spans="1:7" x14ac:dyDescent="0.45">
      <c r="A9" s="33" t="s">
        <v>106</v>
      </c>
      <c r="B9" s="52">
        <v>25000</v>
      </c>
      <c r="C9" s="52"/>
      <c r="D9" s="52"/>
      <c r="E9" s="52"/>
      <c r="F9" s="52"/>
      <c r="G9" t="s">
        <v>108</v>
      </c>
    </row>
    <row r="10" spans="1:7" x14ac:dyDescent="0.45">
      <c r="A10" t="s">
        <v>109</v>
      </c>
      <c r="B10" s="52">
        <v>25000</v>
      </c>
      <c r="C10" s="52"/>
      <c r="D10" s="52"/>
      <c r="E10" s="52"/>
      <c r="F10" s="52"/>
      <c r="G10" t="s">
        <v>110</v>
      </c>
    </row>
    <row r="11" spans="1:7" x14ac:dyDescent="0.45">
      <c r="A11" s="33" t="s">
        <v>16</v>
      </c>
      <c r="B11" s="52">
        <v>25000</v>
      </c>
      <c r="C11" s="52"/>
      <c r="D11" s="52"/>
      <c r="E11" s="52"/>
      <c r="F11" s="52"/>
      <c r="G11" t="s">
        <v>111</v>
      </c>
    </row>
    <row r="12" spans="1:7" x14ac:dyDescent="0.45">
      <c r="A12" s="33" t="s">
        <v>16</v>
      </c>
      <c r="B12" s="52">
        <v>25000</v>
      </c>
      <c r="C12" s="52"/>
      <c r="D12" s="52"/>
      <c r="E12" s="52"/>
      <c r="F12" s="52"/>
      <c r="G12" t="s">
        <v>111</v>
      </c>
    </row>
    <row r="13" spans="1:7" x14ac:dyDescent="0.45">
      <c r="A13" t="s">
        <v>112</v>
      </c>
      <c r="B13" s="52">
        <v>550000</v>
      </c>
      <c r="C13" s="52"/>
      <c r="D13" s="52"/>
      <c r="E13" s="52"/>
      <c r="F13" s="52"/>
      <c r="G13" t="s">
        <v>113</v>
      </c>
    </row>
    <row r="14" spans="1:7" x14ac:dyDescent="0.45">
      <c r="A14" s="33" t="s">
        <v>114</v>
      </c>
      <c r="B14" s="52">
        <v>45000</v>
      </c>
      <c r="C14" s="52"/>
      <c r="D14" s="52"/>
      <c r="E14" s="52"/>
      <c r="F14" s="52"/>
      <c r="G14" t="s">
        <v>115</v>
      </c>
    </row>
    <row r="15" spans="1:7" x14ac:dyDescent="0.45">
      <c r="A15" s="33" t="s">
        <v>114</v>
      </c>
      <c r="B15" s="52">
        <v>15000</v>
      </c>
      <c r="C15" s="52"/>
      <c r="D15" s="52"/>
      <c r="E15" s="52"/>
      <c r="F15" s="52"/>
      <c r="G15" t="s">
        <v>116</v>
      </c>
    </row>
    <row r="16" spans="1:7" x14ac:dyDescent="0.45">
      <c r="A16" t="s">
        <v>117</v>
      </c>
      <c r="B16" s="52">
        <v>10000</v>
      </c>
      <c r="C16" s="52"/>
      <c r="D16" s="52"/>
      <c r="E16" s="52"/>
      <c r="F16" s="52"/>
      <c r="G16" t="s">
        <v>118</v>
      </c>
    </row>
    <row r="17" spans="1:7" x14ac:dyDescent="0.45">
      <c r="A17" s="7" t="s">
        <v>119</v>
      </c>
      <c r="B17" s="11">
        <f>SUM(B5:B16)</f>
        <v>820000</v>
      </c>
      <c r="C17" s="11">
        <f>SUM(C5:C16)</f>
        <v>0</v>
      </c>
      <c r="D17" s="11">
        <f>SUM(D5:D16)</f>
        <v>0</v>
      </c>
      <c r="E17" s="11">
        <f>SUM(E5:E16)</f>
        <v>0</v>
      </c>
      <c r="F17" s="11">
        <f>SUM(F5:F16)</f>
        <v>0</v>
      </c>
      <c r="G17" t="s">
        <v>120</v>
      </c>
    </row>
    <row r="18" spans="1:7" x14ac:dyDescent="0.45">
      <c r="B18" s="10"/>
      <c r="C18" s="10"/>
      <c r="D18" s="10"/>
      <c r="E18" s="10"/>
      <c r="F18" s="10"/>
    </row>
    <row r="19" spans="1:7" x14ac:dyDescent="0.45">
      <c r="A19" s="26" t="s">
        <v>121</v>
      </c>
      <c r="B19" s="39"/>
      <c r="C19" s="39"/>
      <c r="D19" s="39"/>
      <c r="E19" s="39"/>
      <c r="F19" s="39"/>
      <c r="G19" s="26"/>
    </row>
    <row r="20" spans="1:7" x14ac:dyDescent="0.45">
      <c r="A20" t="s">
        <v>122</v>
      </c>
      <c r="B20" s="52">
        <v>200000</v>
      </c>
      <c r="C20" s="52"/>
      <c r="D20" s="52"/>
      <c r="E20" s="52"/>
      <c r="F20" s="52"/>
      <c r="G20" t="s">
        <v>123</v>
      </c>
    </row>
    <row r="21" spans="1:7" x14ac:dyDescent="0.45">
      <c r="A21" s="33" t="s">
        <v>124</v>
      </c>
      <c r="B21" s="52">
        <v>0</v>
      </c>
      <c r="C21" s="52"/>
      <c r="D21" s="52"/>
      <c r="E21" s="52"/>
      <c r="F21" s="52"/>
      <c r="G21" t="s">
        <v>125</v>
      </c>
    </row>
    <row r="22" spans="1:7" x14ac:dyDescent="0.45">
      <c r="A22" s="33" t="s">
        <v>124</v>
      </c>
      <c r="B22" s="52">
        <v>0</v>
      </c>
      <c r="C22" s="52"/>
      <c r="D22" s="52"/>
      <c r="E22" s="52"/>
      <c r="F22" s="52"/>
      <c r="G22" t="s">
        <v>126</v>
      </c>
    </row>
    <row r="23" spans="1:7" x14ac:dyDescent="0.45">
      <c r="A23" t="s">
        <v>127</v>
      </c>
      <c r="B23" s="52">
        <v>0</v>
      </c>
      <c r="C23" s="52"/>
      <c r="D23" s="52"/>
      <c r="E23" s="52"/>
      <c r="F23" s="52"/>
      <c r="G23" t="s">
        <v>128</v>
      </c>
    </row>
    <row r="24" spans="1:7" x14ac:dyDescent="0.45">
      <c r="A24" t="s">
        <v>129</v>
      </c>
      <c r="B24" s="52">
        <v>0</v>
      </c>
      <c r="C24" s="52"/>
      <c r="D24" s="52"/>
      <c r="E24" s="52"/>
      <c r="F24" s="52"/>
      <c r="G24" t="s">
        <v>130</v>
      </c>
    </row>
    <row r="25" spans="1:7" x14ac:dyDescent="0.45">
      <c r="A25" s="7" t="s">
        <v>131</v>
      </c>
      <c r="B25" s="11">
        <f>SUM(B20:B24)</f>
        <v>200000</v>
      </c>
      <c r="C25" s="11">
        <f>SUM(C20:C24)</f>
        <v>0</v>
      </c>
      <c r="D25" s="11">
        <f>SUM(D20:D24)</f>
        <v>0</v>
      </c>
      <c r="E25" s="11">
        <f>SUM(E20:E24)</f>
        <v>0</v>
      </c>
      <c r="F25" s="11">
        <f>SUM(F20:F24)</f>
        <v>0</v>
      </c>
      <c r="G25" t="s">
        <v>132</v>
      </c>
    </row>
    <row r="26" spans="1:7" x14ac:dyDescent="0.45">
      <c r="B26" s="10"/>
      <c r="C26" s="10"/>
      <c r="D26" s="10"/>
      <c r="E26" s="10"/>
      <c r="F26" s="10"/>
    </row>
    <row r="27" spans="1:7" x14ac:dyDescent="0.45">
      <c r="A27" s="26" t="s">
        <v>133</v>
      </c>
      <c r="B27" s="39"/>
      <c r="C27" s="39"/>
      <c r="D27" s="39"/>
      <c r="E27" s="39"/>
      <c r="F27" s="39"/>
      <c r="G27" s="26"/>
    </row>
    <row r="28" spans="1:7" x14ac:dyDescent="0.45">
      <c r="A28" s="7" t="s">
        <v>134</v>
      </c>
      <c r="B28" s="11">
        <f>B17-B25</f>
        <v>620000</v>
      </c>
      <c r="C28" s="11">
        <f>C17-C25</f>
        <v>0</v>
      </c>
      <c r="D28" s="11">
        <f>D17-D25</f>
        <v>0</v>
      </c>
      <c r="E28" s="11">
        <f>E17-E25</f>
        <v>0</v>
      </c>
      <c r="F28" s="11">
        <f>F17-F25</f>
        <v>0</v>
      </c>
      <c r="G28" t="s">
        <v>135</v>
      </c>
    </row>
    <row r="29" spans="1:7" x14ac:dyDescent="0.45">
      <c r="A29" s="7" t="s">
        <v>136</v>
      </c>
      <c r="B29" s="11">
        <f>B13-B20</f>
        <v>350000</v>
      </c>
      <c r="C29" s="11">
        <f>C13-C20</f>
        <v>0</v>
      </c>
      <c r="D29" s="11">
        <f>D13-D20</f>
        <v>0</v>
      </c>
      <c r="E29" s="11">
        <f>E13-E20</f>
        <v>0</v>
      </c>
      <c r="F29" s="11">
        <f>F13-F20</f>
        <v>0</v>
      </c>
      <c r="G29" t="s">
        <v>137</v>
      </c>
    </row>
    <row r="30" spans="1:7" x14ac:dyDescent="0.45">
      <c r="A30" s="7" t="s">
        <v>138</v>
      </c>
      <c r="B30" s="11">
        <f>(B14+B15)-(B21+B22)</f>
        <v>60000</v>
      </c>
      <c r="C30" s="11">
        <f>(C14+C15)-(C21+C22)</f>
        <v>0</v>
      </c>
      <c r="D30" s="11">
        <f>(D14+D15)-(D21+D22)</f>
        <v>0</v>
      </c>
      <c r="E30" s="11">
        <f>(E14+E15)-(E21+E22)</f>
        <v>0</v>
      </c>
      <c r="F30" s="11">
        <f>(F14+F15)-(F21+F22)</f>
        <v>0</v>
      </c>
      <c r="G30" t="s">
        <v>139</v>
      </c>
    </row>
    <row r="31" spans="1:7" x14ac:dyDescent="0.45">
      <c r="A31" s="7" t="s">
        <v>140</v>
      </c>
      <c r="B31" s="11">
        <f>SUM(B5:B10)</f>
        <v>150000</v>
      </c>
      <c r="C31" s="11">
        <f>SUM(C5:C10)</f>
        <v>0</v>
      </c>
      <c r="D31" s="11">
        <f>SUM(D5:D10)</f>
        <v>0</v>
      </c>
      <c r="E31" s="11">
        <f>SUM(E5:E10)</f>
        <v>0</v>
      </c>
      <c r="F31" s="11">
        <f>SUM(F5:F10)</f>
        <v>0</v>
      </c>
      <c r="G31" t="s">
        <v>141</v>
      </c>
    </row>
    <row r="32" spans="1:7" x14ac:dyDescent="0.45">
      <c r="A32" s="7" t="s">
        <v>142</v>
      </c>
      <c r="B32" s="11">
        <f>'Cash Flow V8'!G5</f>
        <v>131000</v>
      </c>
      <c r="C32" s="55"/>
      <c r="D32" s="55"/>
      <c r="E32" s="55"/>
      <c r="F32" s="55"/>
      <c r="G32" t="s">
        <v>143</v>
      </c>
    </row>
    <row r="33" spans="1:7" x14ac:dyDescent="0.45">
      <c r="A33" s="7" t="s">
        <v>144</v>
      </c>
      <c r="B33" s="40">
        <f>IF(B32=0,"-",B31/B32)</f>
        <v>1.1450381679389312</v>
      </c>
      <c r="C33" s="40" t="str">
        <f>IF(C32=0,"-",C31/C32)</f>
        <v>-</v>
      </c>
      <c r="D33" s="40" t="str">
        <f>IF(D32=0,"-",D31/D32)</f>
        <v>-</v>
      </c>
      <c r="E33" s="40" t="str">
        <f>IF(E32=0,"-",E31/E32)</f>
        <v>-</v>
      </c>
      <c r="F33" s="40" t="str">
        <f>IF(F32=0,"-",F31/F32)</f>
        <v>-</v>
      </c>
      <c r="G33" t="s">
        <v>145</v>
      </c>
    </row>
    <row r="34" spans="1:7" x14ac:dyDescent="0.45">
      <c r="A34" s="7" t="s">
        <v>146</v>
      </c>
      <c r="B34" s="41">
        <f>IF(B17=0,"-",B25/B17)</f>
        <v>0.24390243902439024</v>
      </c>
      <c r="C34" s="41" t="str">
        <f>IF(C17=0,"-",C25/C17)</f>
        <v>-</v>
      </c>
      <c r="D34" s="41" t="str">
        <f>IF(D17=0,"-",D25/D17)</f>
        <v>-</v>
      </c>
      <c r="E34" s="41" t="str">
        <f>IF(E17=0,"-",E25/E17)</f>
        <v>-</v>
      </c>
      <c r="F34" s="41" t="str">
        <f>IF(F17=0,"-",F25/F17)</f>
        <v>-</v>
      </c>
      <c r="G34" t="s">
        <v>147</v>
      </c>
    </row>
    <row r="35" spans="1:7" x14ac:dyDescent="0.45">
      <c r="A35" s="7" t="s">
        <v>50</v>
      </c>
      <c r="B35" s="41">
        <f>'Cash Flow V8'!G13</f>
        <v>-0.27553435114503816</v>
      </c>
      <c r="C35" s="41"/>
      <c r="D35" s="41"/>
      <c r="E35" s="41"/>
      <c r="F35" s="41"/>
      <c r="G35" t="s">
        <v>148</v>
      </c>
    </row>
    <row r="36" spans="1:7" x14ac:dyDescent="0.45">
      <c r="G36" t="s">
        <v>149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7"/>
  <sheetViews>
    <sheetView workbookViewId="0"/>
  </sheetViews>
  <sheetFormatPr defaultRowHeight="14.25" x14ac:dyDescent="0.45"/>
  <cols>
    <col min="1" max="1" width="36" customWidth="1"/>
    <col min="2" max="2" width="18" customWidth="1"/>
    <col min="3" max="3" width="70" customWidth="1"/>
  </cols>
  <sheetData>
    <row r="1" spans="1:3" ht="20.25" customHeight="1" x14ac:dyDescent="0.65">
      <c r="A1" s="66" t="s">
        <v>150</v>
      </c>
      <c r="B1" s="61"/>
      <c r="C1" s="61"/>
    </row>
    <row r="2" spans="1:3" x14ac:dyDescent="0.45">
      <c r="A2" s="7" t="s">
        <v>151</v>
      </c>
      <c r="B2" s="38" t="s">
        <v>152</v>
      </c>
      <c r="C2" s="7"/>
    </row>
    <row r="4" spans="1:3" x14ac:dyDescent="0.45">
      <c r="A4" s="28" t="s">
        <v>153</v>
      </c>
      <c r="B4" s="28"/>
      <c r="C4" s="28"/>
    </row>
    <row r="5" spans="1:3" ht="1.9" customHeight="1" x14ac:dyDescent="0.45">
      <c r="A5" s="30" t="s">
        <v>154</v>
      </c>
      <c r="B5" s="15" t="str">
        <f>IF(B17&lt;0,"C - Negative Remaining Cash Flow",IF(B13&lt;0,"B- - Operating Deficit",IF(B32&lt;2,"B- - Low Liquidity Coverage",IF(B34&lt;0.25,"B - Limited Flexibility",IF(B34&lt;0.5,"A-","A")))))</f>
        <v>C - Negative Remaining Cash Flow</v>
      </c>
      <c r="C5" s="15" t="str">
        <f>IF(B17&lt;0,"Warning: operating cash flow after the savings transfer is negative. The plan still may be manageable with asset drawdowns, but expense levels or the savings transfer should be reviewed.",IF(B13&lt;0,"The plan requires asset drawdowns to cover annual expenses. This may be acceptable if intentional, but should be monitored.",IF(B34&lt;0.25,"The plan remains positive, but financial flexibility is limited. Monitor expenses and maintain liquidity.","The retirement plan appears financially resilient. Recurring income covers annual expenses with a substantial margin, asset drawdowns remain modest, and liquid assets provide strong protection against unexpected events.")))</f>
        <v>Warning: operating cash flow after the savings transfer is negative. The plan still may be manageable with asset drawdowns, but expense levels or the savings transfer should be reviewed.</v>
      </c>
    </row>
    <row r="6" spans="1:3" x14ac:dyDescent="0.45">
      <c r="C6" s="16"/>
    </row>
    <row r="7" spans="1:3" x14ac:dyDescent="0.45">
      <c r="A7" s="28" t="s">
        <v>155</v>
      </c>
      <c r="B7" s="28"/>
      <c r="C7" s="31"/>
    </row>
    <row r="8" spans="1:3" x14ac:dyDescent="0.45">
      <c r="A8" s="29" t="s">
        <v>156</v>
      </c>
      <c r="B8" s="29" t="s">
        <v>157</v>
      </c>
      <c r="C8" s="14" t="s">
        <v>158</v>
      </c>
    </row>
    <row r="9" spans="1:3" x14ac:dyDescent="0.45">
      <c r="A9" t="s">
        <v>54</v>
      </c>
      <c r="B9" s="10">
        <f>'Cash Flow V8'!G2</f>
        <v>102500</v>
      </c>
      <c r="C9" s="16" t="str">
        <f>IF(B9&gt;0,"Strong recurring income base","Review recurring income")</f>
        <v>Strong recurring income base</v>
      </c>
    </row>
    <row r="10" spans="1:3" x14ac:dyDescent="0.45">
      <c r="A10" t="s">
        <v>57</v>
      </c>
      <c r="B10" s="10">
        <f>'Cash Flow V8'!G3</f>
        <v>11000</v>
      </c>
      <c r="C10" s="16" t="str">
        <f>IF(B10=0,"No asset drawdowns",IF(B10/B11&lt;0.15,"Modest drawdowns",IF(B10/B11&lt;0.3,"Moderate drawdowns","High reliance on drawdowns")))</f>
        <v>Modest drawdowns</v>
      </c>
    </row>
    <row r="11" spans="1:3" x14ac:dyDescent="0.45">
      <c r="A11" t="s">
        <v>59</v>
      </c>
      <c r="B11" s="10">
        <f>'Cash Flow V8'!G4</f>
        <v>113500</v>
      </c>
      <c r="C11" s="16" t="str">
        <f>"Operating income plus drawdowns"</f>
        <v>Operating income plus drawdowns</v>
      </c>
    </row>
    <row r="12" spans="1:3" x14ac:dyDescent="0.45">
      <c r="A12" t="s">
        <v>44</v>
      </c>
      <c r="B12" s="10">
        <f>'Cash Flow V8'!G5</f>
        <v>131000</v>
      </c>
      <c r="C12" s="16" t="str">
        <f>IF(B12&gt;0,"Includes living expenses, taxes, and family gifts","Verify expense inputs")</f>
        <v>Includes living expenses, taxes, and family gifts</v>
      </c>
    </row>
    <row r="13" spans="1:3" x14ac:dyDescent="0.45">
      <c r="A13" t="s">
        <v>60</v>
      </c>
      <c r="B13" s="10">
        <f>'Cash Flow V8'!G6</f>
        <v>-28500</v>
      </c>
      <c r="C13" s="16" t="str">
        <f>IF(B13&lt;0,"Deficit: recurring income does not cover expenses",IF(B13&lt;10000,"Tight",IF(B13&lt;50000,"Strong","Excellent")))</f>
        <v>Deficit: recurring income does not cover expenses</v>
      </c>
    </row>
    <row r="14" spans="1:3" x14ac:dyDescent="0.45">
      <c r="A14" t="s">
        <v>85</v>
      </c>
      <c r="B14" s="10">
        <f>'Cash Flow V8'!G7</f>
        <v>-17500</v>
      </c>
      <c r="C14" s="16" t="str">
        <f>IF(B14&lt;0,"Deficit including drawdowns",IF(B14&lt;10000,"Tight",IF(B14&lt;50000,"Strong","Excellent")))</f>
        <v>Deficit including drawdowns</v>
      </c>
    </row>
    <row r="15" spans="1:3" x14ac:dyDescent="0.45">
      <c r="A15" t="s">
        <v>47</v>
      </c>
      <c r="B15" s="10">
        <f>'Cash Flow V8'!G8</f>
        <v>5125</v>
      </c>
      <c r="C15" s="16" t="str">
        <f>"Calculated from operating income only"</f>
        <v>Calculated from operating income only</v>
      </c>
    </row>
    <row r="16" spans="1:3" x14ac:dyDescent="0.45">
      <c r="A16" t="s">
        <v>159</v>
      </c>
      <c r="B16" s="10">
        <f>'Cash Flow V8'!G9</f>
        <v>7595</v>
      </c>
      <c r="C16" s="16" t="str">
        <f>IF(B16&gt;=B15,"Goal met","Below goal")</f>
        <v>Goal met</v>
      </c>
    </row>
    <row r="17" spans="1:3" x14ac:dyDescent="0.45">
      <c r="A17" t="s">
        <v>89</v>
      </c>
      <c r="B17" s="10">
        <f>'Cash Flow V8'!G10</f>
        <v>-36095</v>
      </c>
      <c r="C17" s="16" t="str">
        <f>IF(B17&lt;0,"Negative: review spending or savings transfer",IF(B17&lt;10000,"Tight flexibility",IF(B17&lt;50000,"Strong flexibility","Excellent flexibility")))</f>
        <v>Negative: review spending or savings transfer</v>
      </c>
    </row>
    <row r="18" spans="1:3" x14ac:dyDescent="0.45">
      <c r="B18" s="10"/>
      <c r="C18" s="16"/>
    </row>
    <row r="19" spans="1:3" x14ac:dyDescent="0.45">
      <c r="A19" s="28" t="s">
        <v>160</v>
      </c>
      <c r="B19" s="36"/>
      <c r="C19" s="31"/>
    </row>
    <row r="20" spans="1:3" x14ac:dyDescent="0.45">
      <c r="A20" s="29" t="s">
        <v>156</v>
      </c>
      <c r="B20" s="37" t="s">
        <v>157</v>
      </c>
      <c r="C20" s="14" t="s">
        <v>158</v>
      </c>
    </row>
    <row r="21" spans="1:3" x14ac:dyDescent="0.45">
      <c r="A21" t="s">
        <v>119</v>
      </c>
      <c r="B21" s="10">
        <f>'Capital &amp; Net Worth'!B15</f>
        <v>15000</v>
      </c>
      <c r="C21" s="16" t="str">
        <f>IF(B21&gt;1000000,"Substantial asset base",IF(B21&gt;500000,"Strong asset base","Monitor asset base"))</f>
        <v>Monitor asset base</v>
      </c>
    </row>
    <row r="22" spans="1:3" x14ac:dyDescent="0.45">
      <c r="A22" t="s">
        <v>131</v>
      </c>
      <c r="B22" s="10">
        <f>'Capital &amp; Net Worth'!B23</f>
        <v>0</v>
      </c>
      <c r="C22" s="16" t="str">
        <f>IF(B21=0,"Verify asset inputs",IF(B22/B21&lt;0.15,"Low debt relative to assets",IF(B22/B21&lt;0.3,"Moderate debt","Elevated debt")))</f>
        <v>Low debt relative to assets</v>
      </c>
    </row>
    <row r="23" spans="1:3" x14ac:dyDescent="0.45">
      <c r="A23" t="s">
        <v>134</v>
      </c>
      <c r="B23" s="10">
        <f>'Capital &amp; Net Worth'!B26</f>
        <v>0</v>
      </c>
      <c r="C23" s="16" t="str">
        <f>IF(B23&gt;1000000,"Strong net worth",IF(B23&gt;500000,"Solid net worth","Monitor net worth"))</f>
        <v>Monitor net worth</v>
      </c>
    </row>
    <row r="24" spans="1:3" x14ac:dyDescent="0.45">
      <c r="A24" t="s">
        <v>136</v>
      </c>
      <c r="B24" s="10">
        <f>'Capital &amp; Net Worth'!B27</f>
        <v>0</v>
      </c>
      <c r="C24" s="16" t="str">
        <f>IF(B24&gt;0,"Positive home equity","Review mortgage/home value")</f>
        <v>Review mortgage/home value</v>
      </c>
    </row>
    <row r="25" spans="1:3" x14ac:dyDescent="0.45">
      <c r="A25" t="s">
        <v>138</v>
      </c>
      <c r="B25" s="10">
        <f>'Capital &amp; Net Worth'!B28</f>
        <v>620000</v>
      </c>
      <c r="C25" s="16" t="str">
        <f>IF(B25&gt;=0,"Positive vehicle equity","Vehicle debt exceeds value")</f>
        <v>Positive vehicle equity</v>
      </c>
    </row>
    <row r="26" spans="1:3" x14ac:dyDescent="0.45">
      <c r="A26" t="s">
        <v>140</v>
      </c>
      <c r="B26" s="10">
        <f>'Capital &amp; Net Worth'!B29</f>
        <v>350000</v>
      </c>
      <c r="C26" s="16" t="str">
        <f>IF(B26&gt;500000,"High liquidity",IF(B26&gt;250000,"Solid liquidity","Monitor liquidity"))</f>
        <v>Solid liquidity</v>
      </c>
    </row>
    <row r="27" spans="1:3" x14ac:dyDescent="0.45">
      <c r="A27" t="s">
        <v>161</v>
      </c>
      <c r="B27" s="10">
        <f>'Capital &amp; Net Worth'!B9</f>
        <v>25000</v>
      </c>
      <c r="C27" t="s">
        <v>162</v>
      </c>
    </row>
    <row r="28" spans="1:3" x14ac:dyDescent="0.45">
      <c r="A28" t="s">
        <v>163</v>
      </c>
      <c r="B28" s="10">
        <f>'Capital &amp; Net Worth'!B10</f>
        <v>25000</v>
      </c>
      <c r="C28" t="s">
        <v>162</v>
      </c>
    </row>
    <row r="29" spans="1:3" x14ac:dyDescent="0.45">
      <c r="C29" s="16"/>
    </row>
    <row r="30" spans="1:3" x14ac:dyDescent="0.45">
      <c r="A30" s="28" t="s">
        <v>133</v>
      </c>
      <c r="B30" s="28"/>
      <c r="C30" s="31"/>
    </row>
    <row r="31" spans="1:3" x14ac:dyDescent="0.45">
      <c r="A31" s="29" t="s">
        <v>156</v>
      </c>
      <c r="B31" s="42" t="s">
        <v>164</v>
      </c>
      <c r="C31" s="14" t="s">
        <v>158</v>
      </c>
    </row>
    <row r="32" spans="1:3" x14ac:dyDescent="0.45">
      <c r="A32" t="s">
        <v>165</v>
      </c>
      <c r="B32" s="44">
        <f>'Capital &amp; Net Worth'!B31</f>
        <v>150000</v>
      </c>
      <c r="C32" s="16" t="str">
        <f>IF(B32="-","No expense base",IF(B32&gt;=10,"Excellent",IF(B32&gt;=5,"Strong",IF(B32&gt;=2,"Adequate","Weak"))))</f>
        <v>Excellent</v>
      </c>
    </row>
    <row r="33" spans="1:3" x14ac:dyDescent="0.45">
      <c r="A33" t="s">
        <v>146</v>
      </c>
      <c r="B33" s="43">
        <f>'Capital &amp; Net Worth'!B32</f>
        <v>131000</v>
      </c>
      <c r="C33" s="16" t="str">
        <f>IF(B33="-","No asset base",IF(B33&lt;0.15,"Very Low",IF(B33&lt;0.3,"Low",IF(B33&lt;0.5,"Moderate","High"))))</f>
        <v>High</v>
      </c>
    </row>
    <row r="34" spans="1:3" x14ac:dyDescent="0.45">
      <c r="A34" t="s">
        <v>50</v>
      </c>
      <c r="B34" s="43">
        <f>'Capital &amp; Net Worth'!B33</f>
        <v>1.1450381679389312</v>
      </c>
      <c r="C34" s="16" t="str">
        <f>IF(B34="-","No expense base",IF(B34&lt;0,"Deficit",IF(B34&lt;0.1,"Tight",IF(B34&lt;0.25,"Adequate",IF(B34&lt;0.5,"Strong","Excellent")))))</f>
        <v>Excellent</v>
      </c>
    </row>
    <row r="35" spans="1:3" x14ac:dyDescent="0.45">
      <c r="A35" t="s">
        <v>65</v>
      </c>
      <c r="B35" s="43">
        <f>'Cash Flow V8'!G12</f>
        <v>9.6916299559471369E-2</v>
      </c>
      <c r="C35" s="16" t="str">
        <f>IF(B35&lt;0.15,"Healthy",IF(B35&lt;0.3,"Moderate",IF(B35&lt;0.5,"Elevated","High reliance")))</f>
        <v>Healthy</v>
      </c>
    </row>
    <row r="36" spans="1:3" x14ac:dyDescent="0.45">
      <c r="C36" s="16"/>
    </row>
    <row r="37" spans="1:3" ht="9" customHeight="1" x14ac:dyDescent="0.45">
      <c r="A37" s="28" t="s">
        <v>166</v>
      </c>
      <c r="B37" s="28"/>
      <c r="C37" s="31"/>
    </row>
    <row r="38" spans="1:3" x14ac:dyDescent="0.45">
      <c r="A38" t="s">
        <v>43</v>
      </c>
      <c r="B38" s="10">
        <f>'Cash Flow V8'!B35</f>
        <v>5000</v>
      </c>
      <c r="C38" s="16" t="s">
        <v>167</v>
      </c>
    </row>
    <row r="39" spans="1:3" ht="14.25" customHeight="1" x14ac:dyDescent="0.45">
      <c r="A39" t="s">
        <v>158</v>
      </c>
      <c r="C39" s="16" t="str">
        <f>IF(B17&lt;0,"Family gifting should be reviewed because remaining operating cash flow after savings is negative.","The plan has enough cash-flow capacity to support annual family gifting while maintaining financial security.")</f>
        <v>Family gifting should be reviewed because remaining operating cash flow after savings is negative.</v>
      </c>
    </row>
    <row r="40" spans="1:3" x14ac:dyDescent="0.45">
      <c r="C40" s="16"/>
    </row>
    <row r="41" spans="1:3" x14ac:dyDescent="0.45">
      <c r="A41" s="28" t="s">
        <v>168</v>
      </c>
      <c r="B41" s="28"/>
      <c r="C41" s="31"/>
    </row>
    <row r="42" spans="1:3" x14ac:dyDescent="0.45">
      <c r="A42" t="s">
        <v>169</v>
      </c>
      <c r="C42" s="16"/>
    </row>
    <row r="43" spans="1:3" x14ac:dyDescent="0.45">
      <c r="A43" t="s">
        <v>170</v>
      </c>
      <c r="C43" s="16"/>
    </row>
    <row r="44" spans="1:3" x14ac:dyDescent="0.45">
      <c r="A44" t="s">
        <v>171</v>
      </c>
      <c r="C44" s="16"/>
    </row>
    <row r="45" spans="1:3" x14ac:dyDescent="0.45">
      <c r="A45" t="s">
        <v>172</v>
      </c>
      <c r="C45" s="16"/>
    </row>
    <row r="46" spans="1:3" x14ac:dyDescent="0.45">
      <c r="A46" t="s">
        <v>173</v>
      </c>
      <c r="C46" s="16"/>
    </row>
    <row r="47" spans="1:3" x14ac:dyDescent="0.45">
      <c r="A47" t="s">
        <v>174</v>
      </c>
      <c r="C47" s="16"/>
    </row>
    <row r="48" spans="1:3" x14ac:dyDescent="0.45">
      <c r="C48" s="16"/>
    </row>
    <row r="49" spans="1:3" x14ac:dyDescent="0.45">
      <c r="A49" s="28" t="s">
        <v>175</v>
      </c>
      <c r="B49" s="28"/>
      <c r="C49" s="31"/>
    </row>
    <row r="50" spans="1:3" x14ac:dyDescent="0.45">
      <c r="A50" t="s">
        <v>176</v>
      </c>
      <c r="C50" s="16"/>
    </row>
    <row r="51" spans="1:3" x14ac:dyDescent="0.45">
      <c r="A51" t="s">
        <v>177</v>
      </c>
      <c r="C51" s="16"/>
    </row>
    <row r="52" spans="1:3" x14ac:dyDescent="0.45">
      <c r="A52" t="s">
        <v>178</v>
      </c>
      <c r="C52" s="16"/>
    </row>
    <row r="53" spans="1:3" ht="4.05" customHeight="1" x14ac:dyDescent="0.45">
      <c r="A53" t="s">
        <v>179</v>
      </c>
      <c r="C53" s="16"/>
    </row>
    <row r="54" spans="1:3" x14ac:dyDescent="0.45">
      <c r="C54" s="16"/>
    </row>
    <row r="55" spans="1:3" ht="81" customHeight="1" x14ac:dyDescent="0.45">
      <c r="A55" s="31" t="s">
        <v>180</v>
      </c>
      <c r="B55" s="31"/>
      <c r="C55" s="31"/>
    </row>
    <row r="56" spans="1:3" x14ac:dyDescent="0.45">
      <c r="A56" s="16"/>
      <c r="B56" s="16"/>
      <c r="C56" s="16"/>
    </row>
    <row r="57" spans="1:3" ht="21.4" customHeight="1" x14ac:dyDescent="0.45">
      <c r="A57" s="32" t="s">
        <v>181</v>
      </c>
      <c r="B57" s="32"/>
      <c r="C57" s="32" t="s">
        <v>182</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Retirement Cash Flow</vt:lpstr>
      <vt:lpstr>Cash Flow V8</vt:lpstr>
      <vt:lpstr>Capital &amp; Net Worth</vt:lpstr>
      <vt:lpstr>Annual Report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Jacobus</dc:creator>
  <cp:lastModifiedBy>Charles Jacobus</cp:lastModifiedBy>
  <dcterms:created xsi:type="dcterms:W3CDTF">2026-08-17T19:35:40Z</dcterms:created>
  <dcterms:modified xsi:type="dcterms:W3CDTF">2026-08-17T19:39:54Z</dcterms:modified>
</cp:coreProperties>
</file>