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c4476f7073d3dbbf/Documents/Finance/Pro-forma budget/"/>
    </mc:Choice>
  </mc:AlternateContent>
  <xr:revisionPtr revIDLastSave="0" documentId="14_{29076961-D060-4A70-8C05-029B7808A7A2}" xr6:coauthVersionLast="47" xr6:coauthVersionMax="47" xr10:uidLastSave="{00000000-0000-0000-0000-000000000000}"/>
  <bookViews>
    <workbookView xWindow="-98" yWindow="-98" windowWidth="21795" windowHeight="12975" xr2:uid="{00000000-000D-0000-FFFF-FFFF00000000}"/>
  </bookViews>
  <sheets>
    <sheet name="Instructions" sheetId="1" r:id="rId1"/>
    <sheet name="Retirement Cash Flow" sheetId="2" r:id="rId2"/>
    <sheet name="Cash Flow V8" sheetId="3" r:id="rId3"/>
    <sheet name="Capital &amp; Net Worth" sheetId="4" r:id="rId4"/>
    <sheet name="Annual Report 2025" sheetId="5" r:id="rId5"/>
    <sheet name="Retirement Goals &amp; 40-Year Plan"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6" l="1"/>
  <c r="C24" i="6" s="1"/>
  <c r="E24" i="6" s="1"/>
  <c r="A23" i="6"/>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G9" i="6"/>
  <c r="G8" i="6"/>
  <c r="G7" i="6"/>
  <c r="B7" i="6"/>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52" i="5"/>
  <c r="B51" i="5"/>
  <c r="B28" i="5"/>
  <c r="B27" i="5"/>
  <c r="B26" i="5"/>
  <c r="B25" i="5"/>
  <c r="C15" i="5"/>
  <c r="C11" i="5"/>
  <c r="F33" i="4"/>
  <c r="E33" i="4"/>
  <c r="D33" i="4"/>
  <c r="C33" i="4"/>
  <c r="F31" i="4"/>
  <c r="E31" i="4"/>
  <c r="D31" i="4"/>
  <c r="C31" i="4"/>
  <c r="B31" i="4"/>
  <c r="B12" i="6" s="1"/>
  <c r="H23" i="6" s="1"/>
  <c r="I23" i="6" s="1"/>
  <c r="F30" i="4"/>
  <c r="E30" i="4"/>
  <c r="D30" i="4"/>
  <c r="C30" i="4"/>
  <c r="B30" i="4"/>
  <c r="F29" i="4"/>
  <c r="E29" i="4"/>
  <c r="D29" i="4"/>
  <c r="C29" i="4"/>
  <c r="B29" i="4"/>
  <c r="B24" i="5" s="1"/>
  <c r="F25" i="4"/>
  <c r="E25" i="4"/>
  <c r="D25" i="4"/>
  <c r="C25" i="4"/>
  <c r="B25" i="4"/>
  <c r="B22" i="5" s="1"/>
  <c r="F17" i="4"/>
  <c r="F34" i="4" s="1"/>
  <c r="E17" i="4"/>
  <c r="E34" i="4" s="1"/>
  <c r="D17" i="4"/>
  <c r="D34" i="4" s="1"/>
  <c r="C17" i="4"/>
  <c r="C34" i="4" s="1"/>
  <c r="B17" i="4"/>
  <c r="B21" i="5" s="1"/>
  <c r="C51" i="3"/>
  <c r="B51" i="3"/>
  <c r="G9" i="3" s="1"/>
  <c r="B16" i="5" s="1"/>
  <c r="C44" i="3"/>
  <c r="B44" i="3"/>
  <c r="C43" i="3"/>
  <c r="B43" i="3"/>
  <c r="C42" i="3"/>
  <c r="B42" i="3"/>
  <c r="C41" i="3"/>
  <c r="B41" i="3"/>
  <c r="C40" i="3"/>
  <c r="B40" i="3"/>
  <c r="C39" i="3"/>
  <c r="B39" i="3"/>
  <c r="C38" i="3"/>
  <c r="B38" i="3"/>
  <c r="C37" i="3"/>
  <c r="B37" i="3"/>
  <c r="C36" i="3"/>
  <c r="B36" i="3"/>
  <c r="C35" i="3"/>
  <c r="B35" i="3"/>
  <c r="B38" i="5" s="1"/>
  <c r="C34" i="3"/>
  <c r="B34" i="3"/>
  <c r="C33" i="3"/>
  <c r="B33" i="3"/>
  <c r="C32" i="3"/>
  <c r="B32" i="3"/>
  <c r="C31" i="3"/>
  <c r="B31" i="3"/>
  <c r="C30" i="3"/>
  <c r="B30" i="3"/>
  <c r="C29" i="3"/>
  <c r="B29" i="3"/>
  <c r="C28" i="3"/>
  <c r="B28" i="3"/>
  <c r="C23" i="3"/>
  <c r="B23" i="3"/>
  <c r="C22" i="3"/>
  <c r="B22" i="3"/>
  <c r="C21" i="3"/>
  <c r="B21" i="3"/>
  <c r="C17" i="3"/>
  <c r="B17" i="3"/>
  <c r="C15" i="3"/>
  <c r="B15" i="3"/>
  <c r="C14" i="3"/>
  <c r="B14" i="3"/>
  <c r="C13" i="3"/>
  <c r="B13" i="3"/>
  <c r="C12" i="3"/>
  <c r="B12" i="3"/>
  <c r="C11" i="3"/>
  <c r="B11" i="3"/>
  <c r="C9" i="3"/>
  <c r="B9" i="3"/>
  <c r="C8" i="3"/>
  <c r="B8" i="3"/>
  <c r="C7" i="3"/>
  <c r="B7" i="3"/>
  <c r="C5" i="3"/>
  <c r="B5" i="3"/>
  <c r="C4" i="3"/>
  <c r="C6" i="3" s="1"/>
  <c r="B4" i="3"/>
  <c r="B6" i="3" s="1"/>
  <c r="C55" i="2"/>
  <c r="C45" i="3" s="1"/>
  <c r="B55" i="2"/>
  <c r="B45" i="3" s="1"/>
  <c r="G5" i="3" s="1"/>
  <c r="B32" i="4" s="1"/>
  <c r="C28" i="2"/>
  <c r="C24" i="3" s="1"/>
  <c r="B28" i="2"/>
  <c r="B24" i="3" s="1"/>
  <c r="G3" i="3" s="1"/>
  <c r="B10" i="5" s="1"/>
  <c r="C22" i="2"/>
  <c r="C16" i="3" s="1"/>
  <c r="B22" i="2"/>
  <c r="B16" i="3" s="1"/>
  <c r="C15" i="2"/>
  <c r="B15" i="2"/>
  <c r="C10" i="2"/>
  <c r="B10" i="2"/>
  <c r="B28" i="4" l="1"/>
  <c r="B23" i="5" s="1"/>
  <c r="B14" i="6"/>
  <c r="B33" i="4"/>
  <c r="B32" i="5" s="1"/>
  <c r="C28" i="4"/>
  <c r="B10" i="3"/>
  <c r="B13" i="6"/>
  <c r="D28" i="4"/>
  <c r="C10" i="3"/>
  <c r="E28" i="4"/>
  <c r="C25" i="6"/>
  <c r="C26" i="6" s="1"/>
  <c r="F28" i="4"/>
  <c r="B34" i="4"/>
  <c r="B33" i="5" s="1"/>
  <c r="C33" i="5" s="1"/>
  <c r="A46" i="5"/>
  <c r="A45" i="5"/>
  <c r="C32" i="5"/>
  <c r="C26" i="5"/>
  <c r="B12" i="5"/>
  <c r="C12" i="5" s="1"/>
  <c r="B23" i="2"/>
  <c r="E23" i="6"/>
  <c r="C23" i="2"/>
  <c r="E25" i="6" l="1"/>
  <c r="E26" i="6"/>
  <c r="C27" i="6"/>
  <c r="B58" i="2"/>
  <c r="B61" i="2" s="1"/>
  <c r="B62" i="2" s="1"/>
  <c r="B59" i="2"/>
  <c r="B18" i="3"/>
  <c r="C58" i="2"/>
  <c r="C61" i="2" s="1"/>
  <c r="C62" i="2" s="1"/>
  <c r="C59" i="2"/>
  <c r="C18" i="3"/>
  <c r="C28" i="6" l="1"/>
  <c r="E27" i="6"/>
  <c r="C53" i="3"/>
  <c r="B11" i="6"/>
  <c r="F23" i="6" s="1"/>
  <c r="C25" i="3"/>
  <c r="C48" i="3"/>
  <c r="C52" i="3" s="1"/>
  <c r="C50" i="3"/>
  <c r="B53" i="3"/>
  <c r="G11" i="3" s="1"/>
  <c r="B25" i="3"/>
  <c r="G2" i="3"/>
  <c r="B9" i="5" s="1"/>
  <c r="B50" i="3"/>
  <c r="G8" i="3" s="1"/>
  <c r="B15" i="5" s="1"/>
  <c r="C16" i="5" s="1"/>
  <c r="B48" i="3"/>
  <c r="E28" i="6" l="1"/>
  <c r="C29" i="6"/>
  <c r="C54" i="3"/>
  <c r="C49" i="3"/>
  <c r="F24" i="6"/>
  <c r="G23" i="6"/>
  <c r="B54" i="3"/>
  <c r="G12" i="3" s="1"/>
  <c r="B35" i="5" s="1"/>
  <c r="G4" i="3"/>
  <c r="B11" i="5" s="1"/>
  <c r="C10" i="5" s="1"/>
  <c r="B49" i="3"/>
  <c r="G7" i="3" s="1"/>
  <c r="B14" i="5" s="1"/>
  <c r="G6" i="3"/>
  <c r="B13" i="5" s="1"/>
  <c r="B52" i="3"/>
  <c r="G10" i="3" s="1"/>
  <c r="E29" i="6" l="1"/>
  <c r="C30" i="6"/>
  <c r="C22" i="5"/>
  <c r="A42" i="5"/>
  <c r="C21" i="5"/>
  <c r="C35" i="5"/>
  <c r="C13" i="5"/>
  <c r="C9" i="5"/>
  <c r="C25" i="5"/>
  <c r="C24" i="5"/>
  <c r="C23" i="5"/>
  <c r="J23" i="6"/>
  <c r="G24" i="6"/>
  <c r="F25" i="6"/>
  <c r="B17" i="5"/>
  <c r="G13" i="3"/>
  <c r="B35" i="4" s="1"/>
  <c r="B34" i="5" s="1"/>
  <c r="A43" i="5"/>
  <c r="C14" i="5"/>
  <c r="C31" i="6" l="1"/>
  <c r="E30" i="6"/>
  <c r="C34" i="5"/>
  <c r="A47" i="5"/>
  <c r="F26" i="6"/>
  <c r="G25" i="6"/>
  <c r="M23" i="6"/>
  <c r="H24" i="6"/>
  <c r="K23" i="6"/>
  <c r="L23" i="6" s="1"/>
  <c r="C5" i="5"/>
  <c r="C39" i="5"/>
  <c r="B5" i="5"/>
  <c r="C17" i="5"/>
  <c r="A44" i="5"/>
  <c r="E31" i="6" l="1"/>
  <c r="C32" i="6"/>
  <c r="I24" i="6"/>
  <c r="J24" i="6" s="1"/>
  <c r="G26" i="6"/>
  <c r="F27" i="6"/>
  <c r="C33" i="6" l="1"/>
  <c r="E32" i="6"/>
  <c r="H25" i="6"/>
  <c r="M24" i="6"/>
  <c r="K24" i="6"/>
  <c r="L24" i="6" s="1"/>
  <c r="F28" i="6"/>
  <c r="G27" i="6"/>
  <c r="E33" i="6" l="1"/>
  <c r="C34" i="6"/>
  <c r="I25" i="6"/>
  <c r="J25" i="6" s="1"/>
  <c r="F29" i="6"/>
  <c r="G28" i="6"/>
  <c r="C35" i="6" l="1"/>
  <c r="E34" i="6"/>
  <c r="M25" i="6"/>
  <c r="H26" i="6"/>
  <c r="K25" i="6"/>
  <c r="L25" i="6" s="1"/>
  <c r="G29" i="6"/>
  <c r="F30" i="6"/>
  <c r="E35" i="6" l="1"/>
  <c r="C36" i="6"/>
  <c r="F31" i="6"/>
  <c r="G30" i="6"/>
  <c r="I26" i="6"/>
  <c r="J26" i="6"/>
  <c r="C37" i="6" l="1"/>
  <c r="E36" i="6"/>
  <c r="M26" i="6"/>
  <c r="H27" i="6"/>
  <c r="K26" i="6"/>
  <c r="L26" i="6" s="1"/>
  <c r="G31" i="6"/>
  <c r="F32" i="6"/>
  <c r="E37" i="6" l="1"/>
  <c r="C38" i="6"/>
  <c r="F33" i="6"/>
  <c r="G32" i="6"/>
  <c r="I27" i="6"/>
  <c r="J27" i="6" s="1"/>
  <c r="C39" i="6" l="1"/>
  <c r="E38" i="6"/>
  <c r="M27" i="6"/>
  <c r="H28" i="6"/>
  <c r="K27" i="6"/>
  <c r="L27" i="6" s="1"/>
  <c r="G33" i="6"/>
  <c r="F34" i="6"/>
  <c r="C40" i="6" l="1"/>
  <c r="E39" i="6"/>
  <c r="F35" i="6"/>
  <c r="G34" i="6"/>
  <c r="I28" i="6"/>
  <c r="J28" i="6" s="1"/>
  <c r="C41" i="6" l="1"/>
  <c r="E40" i="6"/>
  <c r="H29" i="6"/>
  <c r="L28" i="6"/>
  <c r="M28" i="6"/>
  <c r="K28" i="6"/>
  <c r="G35" i="6"/>
  <c r="F36" i="6"/>
  <c r="C42" i="6" l="1"/>
  <c r="E41" i="6"/>
  <c r="G36" i="6"/>
  <c r="F37" i="6"/>
  <c r="I29" i="6"/>
  <c r="J29" i="6" s="1"/>
  <c r="E42" i="6" l="1"/>
  <c r="C43" i="6"/>
  <c r="M29" i="6"/>
  <c r="L29" i="6"/>
  <c r="H30" i="6"/>
  <c r="K29" i="6"/>
  <c r="F38" i="6"/>
  <c r="G37" i="6"/>
  <c r="C44" i="6" l="1"/>
  <c r="E43" i="6"/>
  <c r="F39" i="6"/>
  <c r="G38" i="6"/>
  <c r="I30" i="6"/>
  <c r="J30" i="6" s="1"/>
  <c r="E44" i="6" l="1"/>
  <c r="C45" i="6"/>
  <c r="H31" i="6"/>
  <c r="M30" i="6"/>
  <c r="L30" i="6"/>
  <c r="K30" i="6"/>
  <c r="F40" i="6"/>
  <c r="G39" i="6"/>
  <c r="C46" i="6" l="1"/>
  <c r="E45" i="6"/>
  <c r="G40" i="6"/>
  <c r="F41" i="6"/>
  <c r="I31" i="6"/>
  <c r="J31" i="6" s="1"/>
  <c r="E46" i="6" l="1"/>
  <c r="C47" i="6"/>
  <c r="F42" i="6"/>
  <c r="G41" i="6"/>
  <c r="L31" i="6"/>
  <c r="H32" i="6"/>
  <c r="M31" i="6"/>
  <c r="K31" i="6"/>
  <c r="C48" i="6" l="1"/>
  <c r="E47" i="6"/>
  <c r="I32" i="6"/>
  <c r="J32" i="6" s="1"/>
  <c r="G42" i="6"/>
  <c r="F43" i="6"/>
  <c r="E48" i="6" l="1"/>
  <c r="C49" i="6"/>
  <c r="H33" i="6"/>
  <c r="M32" i="6"/>
  <c r="L32" i="6"/>
  <c r="K32" i="6"/>
  <c r="F44" i="6"/>
  <c r="G43" i="6"/>
  <c r="E49" i="6" l="1"/>
  <c r="C50" i="6"/>
  <c r="G44" i="6"/>
  <c r="F45" i="6"/>
  <c r="I33" i="6"/>
  <c r="J33" i="6" s="1"/>
  <c r="E50" i="6" l="1"/>
  <c r="C51" i="6"/>
  <c r="F46" i="6"/>
  <c r="G45" i="6"/>
  <c r="M33" i="6"/>
  <c r="L33" i="6"/>
  <c r="H34" i="6"/>
  <c r="K33" i="6"/>
  <c r="C52" i="6" l="1"/>
  <c r="E51" i="6"/>
  <c r="I34" i="6"/>
  <c r="J34" i="6" s="1"/>
  <c r="G46" i="6"/>
  <c r="F47" i="6"/>
  <c r="C53" i="6" l="1"/>
  <c r="E52" i="6"/>
  <c r="M34" i="6"/>
  <c r="H35" i="6"/>
  <c r="L34" i="6"/>
  <c r="K34" i="6"/>
  <c r="F48" i="6"/>
  <c r="G47" i="6"/>
  <c r="E53" i="6" l="1"/>
  <c r="C54" i="6"/>
  <c r="I35" i="6"/>
  <c r="J35" i="6" s="1"/>
  <c r="G48" i="6"/>
  <c r="F49" i="6"/>
  <c r="C55" i="6" l="1"/>
  <c r="E54" i="6"/>
  <c r="H36" i="6"/>
  <c r="M35" i="6"/>
  <c r="L35" i="6"/>
  <c r="K35" i="6"/>
  <c r="F50" i="6"/>
  <c r="G49" i="6"/>
  <c r="E55" i="6" l="1"/>
  <c r="C56" i="6"/>
  <c r="G50" i="6"/>
  <c r="F51" i="6"/>
  <c r="I36" i="6"/>
  <c r="J36" i="6" s="1"/>
  <c r="C57" i="6" l="1"/>
  <c r="E56" i="6"/>
  <c r="M36" i="6"/>
  <c r="L36" i="6"/>
  <c r="H37" i="6"/>
  <c r="K36" i="6"/>
  <c r="G51" i="6"/>
  <c r="F52" i="6"/>
  <c r="E57" i="6" l="1"/>
  <c r="C58" i="6"/>
  <c r="F53" i="6"/>
  <c r="G52" i="6"/>
  <c r="I37" i="6"/>
  <c r="J37" i="6" s="1"/>
  <c r="C59" i="6" l="1"/>
  <c r="E58" i="6"/>
  <c r="M37" i="6"/>
  <c r="H38" i="6"/>
  <c r="L37" i="6"/>
  <c r="K37" i="6"/>
  <c r="G53" i="6"/>
  <c r="F54" i="6"/>
  <c r="E59" i="6" l="1"/>
  <c r="C60" i="6"/>
  <c r="I38" i="6"/>
  <c r="J38" i="6" s="1"/>
  <c r="F55" i="6"/>
  <c r="G54" i="6"/>
  <c r="C61" i="6" l="1"/>
  <c r="E60" i="6"/>
  <c r="M38" i="6"/>
  <c r="L38" i="6"/>
  <c r="H39" i="6"/>
  <c r="K38" i="6"/>
  <c r="G55" i="6"/>
  <c r="F56" i="6"/>
  <c r="C62" i="6" l="1"/>
  <c r="E62" i="6" s="1"/>
  <c r="E61" i="6"/>
  <c r="F57" i="6"/>
  <c r="G56" i="6"/>
  <c r="I39" i="6"/>
  <c r="J39" i="6" s="1"/>
  <c r="H40" i="6" l="1"/>
  <c r="L39" i="6"/>
  <c r="M39" i="6"/>
  <c r="K39" i="6"/>
  <c r="G57" i="6"/>
  <c r="F58" i="6"/>
  <c r="G58" i="6" l="1"/>
  <c r="F59" i="6"/>
  <c r="I40" i="6"/>
  <c r="J40" i="6" s="1"/>
  <c r="M40" i="6" l="1"/>
  <c r="L40" i="6"/>
  <c r="H41" i="6"/>
  <c r="K40" i="6"/>
  <c r="G59" i="6"/>
  <c r="F60" i="6"/>
  <c r="F61" i="6" l="1"/>
  <c r="G60" i="6"/>
  <c r="I41" i="6"/>
  <c r="J41" i="6" s="1"/>
  <c r="H42" i="6" l="1"/>
  <c r="L41" i="6"/>
  <c r="M41" i="6"/>
  <c r="K41" i="6"/>
  <c r="F62" i="6"/>
  <c r="G62" i="6" s="1"/>
  <c r="G13" i="6" s="1"/>
  <c r="G61" i="6"/>
  <c r="I42" i="6" l="1"/>
  <c r="J42" i="6"/>
  <c r="H43" i="6" l="1"/>
  <c r="M42" i="6"/>
  <c r="L42" i="6"/>
  <c r="K42" i="6"/>
  <c r="I43" i="6" l="1"/>
  <c r="J43" i="6" s="1"/>
  <c r="H44" i="6" l="1"/>
  <c r="M43" i="6"/>
  <c r="L43" i="6"/>
  <c r="K43" i="6"/>
  <c r="I44" i="6" l="1"/>
  <c r="J44" i="6"/>
  <c r="M44" i="6" l="1"/>
  <c r="L44" i="6"/>
  <c r="H45" i="6"/>
  <c r="K44" i="6"/>
  <c r="I45" i="6" l="1"/>
  <c r="J45" i="6"/>
  <c r="M45" i="6" l="1"/>
  <c r="L45" i="6"/>
  <c r="H46" i="6"/>
  <c r="K45" i="6"/>
  <c r="I46" i="6" l="1"/>
  <c r="J46" i="6" s="1"/>
  <c r="H47" i="6" l="1"/>
  <c r="L46" i="6"/>
  <c r="M46" i="6"/>
  <c r="K46" i="6"/>
  <c r="I47" i="6" l="1"/>
  <c r="J47" i="6" s="1"/>
  <c r="M47" i="6" l="1"/>
  <c r="L47" i="6"/>
  <c r="H48" i="6"/>
  <c r="K47" i="6"/>
  <c r="I48" i="6" l="1"/>
  <c r="J48" i="6" s="1"/>
  <c r="L48" i="6" l="1"/>
  <c r="H49" i="6"/>
  <c r="M48" i="6"/>
  <c r="K48" i="6"/>
  <c r="I49" i="6" l="1"/>
  <c r="J49" i="6" s="1"/>
  <c r="L49" i="6" l="1"/>
  <c r="M49" i="6"/>
  <c r="H50" i="6"/>
  <c r="K49" i="6"/>
  <c r="I50" i="6" l="1"/>
  <c r="J50" i="6" s="1"/>
  <c r="H51" i="6" l="1"/>
  <c r="M50" i="6"/>
  <c r="L50" i="6"/>
  <c r="K50" i="6"/>
  <c r="I51" i="6" l="1"/>
  <c r="J51" i="6" s="1"/>
  <c r="M51" i="6" l="1"/>
  <c r="L51" i="6"/>
  <c r="H52" i="6"/>
  <c r="K51" i="6"/>
  <c r="I52" i="6" l="1"/>
  <c r="J52" i="6" s="1"/>
  <c r="H53" i="6" l="1"/>
  <c r="L52" i="6"/>
  <c r="M52" i="6"/>
  <c r="K52" i="6"/>
  <c r="I53" i="6" l="1"/>
  <c r="J53" i="6" s="1"/>
  <c r="M53" i="6" l="1"/>
  <c r="L53" i="6"/>
  <c r="H54" i="6"/>
  <c r="K53" i="6"/>
  <c r="I54" i="6" l="1"/>
  <c r="J54" i="6" s="1"/>
  <c r="H55" i="6" l="1"/>
  <c r="M54" i="6"/>
  <c r="L54" i="6"/>
  <c r="K54" i="6"/>
  <c r="I55" i="6" l="1"/>
  <c r="J55" i="6"/>
  <c r="H56" i="6" l="1"/>
  <c r="M55" i="6"/>
  <c r="L55" i="6"/>
  <c r="K55" i="6"/>
  <c r="I56" i="6" l="1"/>
  <c r="J56" i="6" s="1"/>
  <c r="M56" i="6" l="1"/>
  <c r="L56" i="6"/>
  <c r="H57" i="6"/>
  <c r="K56" i="6"/>
  <c r="I57" i="6" l="1"/>
  <c r="J57" i="6" s="1"/>
  <c r="M57" i="6" l="1"/>
  <c r="H58" i="6"/>
  <c r="L57" i="6"/>
  <c r="K57" i="6"/>
  <c r="I58" i="6" l="1"/>
  <c r="J58" i="6" s="1"/>
  <c r="M58" i="6" l="1"/>
  <c r="L58" i="6"/>
  <c r="H59" i="6"/>
  <c r="K58" i="6"/>
  <c r="I59" i="6" l="1"/>
  <c r="J59" i="6" s="1"/>
  <c r="L59" i="6" l="1"/>
  <c r="H60" i="6"/>
  <c r="M59" i="6"/>
  <c r="K59" i="6"/>
  <c r="I60" i="6" l="1"/>
  <c r="J60" i="6" s="1"/>
  <c r="M60" i="6" l="1"/>
  <c r="L60" i="6"/>
  <c r="H61" i="6"/>
  <c r="K60" i="6"/>
  <c r="I61" i="6" l="1"/>
  <c r="J61" i="6" s="1"/>
  <c r="H62" i="6" l="1"/>
  <c r="L61" i="6"/>
  <c r="M61" i="6"/>
  <c r="K61" i="6"/>
  <c r="I62" i="6" l="1"/>
  <c r="J62" i="6" s="1"/>
  <c r="M62" i="6" l="1"/>
  <c r="G11" i="6"/>
  <c r="B54" i="5" s="1"/>
  <c r="C54" i="5" s="1"/>
  <c r="L62" i="6"/>
  <c r="G14" i="6"/>
  <c r="G10" i="6"/>
  <c r="B53" i="5" s="1"/>
  <c r="K62" i="6"/>
  <c r="G12" i="6" s="1"/>
  <c r="G5" i="6" l="1"/>
  <c r="B50" i="5" s="1"/>
  <c r="G6" i="6" l="1"/>
  <c r="C50" i="5" s="1"/>
</calcChain>
</file>

<file path=xl/sharedStrings.xml><?xml version="1.0" encoding="utf-8"?>
<sst xmlns="http://schemas.openxmlformats.org/spreadsheetml/2006/main" count="576" uniqueCount="433">
  <si>
    <t>Design Retirement Planner™</t>
  </si>
  <si>
    <t>Rev 9.1.5 – Consumer Debt Readiness</t>
  </si>
  <si>
    <t xml:space="preserve">Engineering Perspective and instructions
This workbook is not intended to predict the future. It is an engineering model that allows you to test financial decisions before you make them by changing assumptions and observing their long-term consequences. Replace all Sample values highlighted in yellow with your figures. The sample figures assume a 5% investment performance on a $2,000,000 porfolio to start. 
No model can eliminate uncertainty. However, a well-designed model can help you understand how different decisions may influence future outcomes, allowing you to make more informed choices.
Think of this workbook as a laboratory rather than a calculator. By adjusting assumptions such as retirement age, investment returns, inflation, spending, savings, and Social Security benefits, you can evaluate alternative strategies and compare their potential outcomes before committing to a financial plan.
The objective is not to discover a single "correct" answer. The objective is to understand the relationship between today's decisions and tomorrow's possibilities.
As with every engineering project, the quality of the results depends on the quality of the assumptions. Review your assumptions regularly, update the model as your circumstances change, and use the results as one of several tools in making important financial decisions.
"Good decisions are not made by predicting the future. They are made by understanding the consequences of today's choices."
</t>
  </si>
  <si>
    <t>Companion Workbook to Design of Retirement Capital</t>
  </si>
  <si>
    <t>Author: Charles H. Jacobus</t>
  </si>
  <si>
    <t>Organization: JACO Innovations</t>
  </si>
  <si>
    <t>Engineering Philosophy:</t>
  </si>
  <si>
    <t>The objective is not to predict the future. The objective is to continuously improve your retirement design.</t>
  </si>
  <si>
    <t>Acknowledgments</t>
  </si>
  <si>
    <t>The author acknowledges OpenAI's ChatGPT as an AI research and writing assistant during development of this workbook. All concepts, engineering principles, financial philosophy, conclusions, and final content decisions remain the responsibility of the author.</t>
  </si>
  <si>
    <t>Rev10.0 – Public Release</t>
  </si>
  <si>
    <t>Welcome</t>
  </si>
  <si>
    <t>The Design Retirement Planner™ is an engineering-based retirement planning system. Unlike many retirement calculators that attempt to predict future wealth, this planner helps you evaluate decisions, compare alternatives, identify potential risks, and continuously improve your retirement design.</t>
  </si>
  <si>
    <t>The planner is intended for educational and planning purposes. It is not intended to predict future investment performance or provide financial, tax, legal, or accounting advice.</t>
  </si>
  <si>
    <t>The objective is not to predict the future.</t>
  </si>
  <si>
    <t>The objective is to continuously improve your retirement design.</t>
  </si>
  <si>
    <t>Recommended Order of Use</t>
  </si>
  <si>
    <t>Complete the workbook in the following sequence:</t>
  </si>
  <si>
    <t>1. Retirement Cash Flow</t>
  </si>
  <si>
    <t>2. Capital &amp; Net Worth</t>
  </si>
  <si>
    <t>3. Retirement Goals &amp; 40-Year Plan</t>
  </si>
  <si>
    <t>4. Annual Report</t>
  </si>
  <si>
    <t>Review and update your information at least once each year.</t>
  </si>
  <si>
    <t>Color Coding</t>
  </si>
  <si>
    <t>🟨 Yellow Cells</t>
  </si>
  <si>
    <t>Yellow cells are user input cells.</t>
  </si>
  <si>
    <t>Enter or update:</t>
  </si>
  <si>
    <t>Employment income</t>
  </si>
  <si>
    <t>Pension income</t>
  </si>
  <si>
    <t>Social Security</t>
  </si>
  <si>
    <t>Investment income</t>
  </si>
  <si>
    <t>Annual expenses</t>
  </si>
  <si>
    <t>Savings</t>
  </si>
  <si>
    <t>Assets</t>
  </si>
  <si>
    <t>Liabilities</t>
  </si>
  <si>
    <t>Inflation</t>
  </si>
  <si>
    <t>Investment return assumptions</t>
  </si>
  <si>
    <t>Retirement goals</t>
  </si>
  <si>
    <t>Estate objectives</t>
  </si>
  <si>
    <t>Travel budget</t>
  </si>
  <si>
    <t>Charitable giving</t>
  </si>
  <si>
    <t>Annual spending goals</t>
  </si>
  <si>
    <t>Only yellow cells should normally be edited.</t>
  </si>
  <si>
    <t>White Cells</t>
  </si>
  <si>
    <t>White cells contain formulas and automatically calculated values.</t>
  </si>
  <si>
    <t>Do not edit unless you fully understand the workbook structure.</t>
  </si>
  <si>
    <t>Green Results</t>
  </si>
  <si>
    <t>Green assessments indicate the current assumptions appear to support your retirement goals.</t>
  </si>
  <si>
    <t>Continue annual reviews.</t>
  </si>
  <si>
    <t>Yellow Results</t>
  </si>
  <si>
    <t>Yellow assessments indicate caution.</t>
  </si>
  <si>
    <t>Monitor these areas carefully.</t>
  </si>
  <si>
    <t>Red Results</t>
  </si>
  <si>
    <t>Red values indicate that corrective action should be considered.</t>
  </si>
  <si>
    <t>Examples include:</t>
  </si>
  <si>
    <t>Negative cash flow</t>
  </si>
  <si>
    <t>Low cash reserves</t>
  </si>
  <si>
    <t>High asset drawdowns</t>
  </si>
  <si>
    <t>Failure to meet retirement goals</t>
  </si>
  <si>
    <t>Worksheet Descriptions</t>
  </si>
  <si>
    <t>This worksheet estimates annual recurring income and annual spending.</t>
  </si>
  <si>
    <t>It calculates:</t>
  </si>
  <si>
    <t>Total recurring income</t>
  </si>
  <si>
    <t>Total recurring expenses</t>
  </si>
  <si>
    <t>Operating cash flow</t>
  </si>
  <si>
    <t>Remaining cash flow</t>
  </si>
  <si>
    <t>Cash available</t>
  </si>
  <si>
    <t>Positive recurring cash flow is one of the strongest indicators of long-term retirement sustainability.</t>
  </si>
  <si>
    <t>This worksheet summarizes:</t>
  </si>
  <si>
    <t>Home</t>
  </si>
  <si>
    <t>Investments</t>
  </si>
  <si>
    <t>Cash</t>
  </si>
  <si>
    <t>Vehicles</t>
  </si>
  <si>
    <t>Retirement accounts</t>
  </si>
  <si>
    <t>Other assets</t>
  </si>
  <si>
    <t>Mortgages</t>
  </si>
  <si>
    <t>Loans</t>
  </si>
  <si>
    <t>Other liabilities</t>
  </si>
  <si>
    <t>The planner calculates:</t>
  </si>
  <si>
    <t>Total Assets</t>
  </si>
  <si>
    <t>Total Liabilities</t>
  </si>
  <si>
    <t>Net Worth</t>
  </si>
  <si>
    <t>Home Equity</t>
  </si>
  <si>
    <t>Vehicle Equity</t>
  </si>
  <si>
    <t>Liquid Assets</t>
  </si>
  <si>
    <t>Net worth provides financial strength but does not replace positive cash flow.</t>
  </si>
  <si>
    <t>This worksheet allows you to design the retirement you want.</t>
  </si>
  <si>
    <t>Enter:</t>
  </si>
  <si>
    <t>Annual spending goal</t>
  </si>
  <si>
    <t>Inflation assumption</t>
  </si>
  <si>
    <t>Expected investment return</t>
  </si>
  <si>
    <t>Desired emergency reserve</t>
  </si>
  <si>
    <t>Estate goal</t>
  </si>
  <si>
    <t>Annual gifting</t>
  </si>
  <si>
    <t>The planner projects approximately forty years into the future using your assumptions.</t>
  </si>
  <si>
    <t>The purpose is not prediction.</t>
  </si>
  <si>
    <t>The purpose is evaluating alternative retirement designs.</t>
  </si>
  <si>
    <t>The Annual Report summarizes your retirement design.</t>
  </si>
  <si>
    <t>It includes:</t>
  </si>
  <si>
    <t>Operating Income</t>
  </si>
  <si>
    <t>Operating Cash Flow</t>
  </si>
  <si>
    <t>Remaining Cash Flow</t>
  </si>
  <si>
    <t>Debt</t>
  </si>
  <si>
    <t>Years of Expenses Covered</t>
  </si>
  <si>
    <t>Drawdown Assessment</t>
  </si>
  <si>
    <t>Goal Achievement Assessment</t>
  </si>
  <si>
    <t>Retirement Design Index™</t>
  </si>
  <si>
    <t>Understanding Key Measurements</t>
  </si>
  <si>
    <t>Recurring income minus recurring expenses.</t>
  </si>
  <si>
    <t>Positive cash flow generally indicates that your retirement lifestyle is supported by recurring income.</t>
  </si>
  <si>
    <t>Negative cash flow means assets may eventually be consumed unless changes are made.</t>
  </si>
  <si>
    <t>Income remaining after planned spending and savings.</t>
  </si>
  <si>
    <t>Negative values should be investigated promptly.</t>
  </si>
  <si>
    <t>Measures how many years current liquid assets could support your present spending.</t>
  </si>
  <si>
    <t>More than 5 Years</t>
  </si>
  <si>
    <t>Excellent financial resilience.</t>
  </si>
  <si>
    <t>3–5 Years</t>
  </si>
  <si>
    <t>Strong reserve.</t>
  </si>
  <si>
    <t>2–3 Years</t>
  </si>
  <si>
    <t>Adequate.</t>
  </si>
  <si>
    <t>Monitor annually.</t>
  </si>
  <si>
    <t>1–2 Years</t>
  </si>
  <si>
    <t>Warning.</t>
  </si>
  <si>
    <t>Begin improving cash flow.</t>
  </si>
  <si>
    <t>6–12 Months</t>
  </si>
  <si>
    <t>Serious Warning.</t>
  </si>
  <si>
    <t>Immediate review recommended.</t>
  </si>
  <si>
    <t>Less than 6 Months</t>
  </si>
  <si>
    <t>Critical.</t>
  </si>
  <si>
    <t>Current retirement design may not be sustainable.</t>
  </si>
  <si>
    <t>Debt-to-Asset Ratio</t>
  </si>
  <si>
    <t>Measures financial leverage.</t>
  </si>
  <si>
    <t>Lower values generally provide greater flexibility.</t>
  </si>
  <si>
    <t>Financial Flexibility Ratio</t>
  </si>
  <si>
    <t>Measures the retirement plan's ability to absorb unexpected events.</t>
  </si>
  <si>
    <t>Negative values indicate increasing financial stress.</t>
  </si>
  <si>
    <t>Asset withdrawals should supplement retirement income—not replace it.</t>
  </si>
  <si>
    <t>Persistent drawdowns indicate recurring income may not support planned spending.</t>
  </si>
  <si>
    <t>Retirement Design Index™ (RDI)</t>
  </si>
  <si>
    <t>The Retirement Design Index™ is an engineering assessment of your retirement design.</t>
  </si>
  <si>
    <t>It is not a prediction.</t>
  </si>
  <si>
    <t>It estimates how well your current plan supports your stated retirement goals based on the assumptions you entered.</t>
  </si>
  <si>
    <t>Rating Scale</t>
  </si>
  <si>
    <t>RDI</t>
  </si>
  <si>
    <t>Probability of Achieving Current Goals</t>
  </si>
  <si>
    <t>Meaning</t>
  </si>
  <si>
    <t>Very High</t>
  </si>
  <si>
    <t>Excellent design.</t>
  </si>
  <si>
    <t>High</t>
  </si>
  <si>
    <t>Strong probability of success.</t>
  </si>
  <si>
    <t>Good</t>
  </si>
  <si>
    <t>Goals appear achievable.</t>
  </si>
  <si>
    <t>Moderately High</t>
  </si>
  <si>
    <t>Moderate</t>
  </si>
  <si>
    <t>Improvements recommended.</t>
  </si>
  <si>
    <t>Fair</t>
  </si>
  <si>
    <t>Review spending and assumptions.</t>
  </si>
  <si>
    <t>Low</t>
  </si>
  <si>
    <t>Significant changes recommended.</t>
  </si>
  <si>
    <t>Poor</t>
  </si>
  <si>
    <t>Retirement goals may not be achieved.</t>
  </si>
  <si>
    <t>Very Low</t>
  </si>
  <si>
    <t>Major redesign recommended.</t>
  </si>
  <si>
    <t>Critical</t>
  </si>
  <si>
    <t>Immediate corrective action recommended.</t>
  </si>
  <si>
    <t>Early Warning System</t>
  </si>
  <si>
    <t>The planner is designed to identify financial problems before they become crises.</t>
  </si>
  <si>
    <t>Pay particular attention if:</t>
  </si>
  <si>
    <t>Operating cash flow becomes negative.</t>
  </si>
  <si>
    <t>Cash reserves fall below two years.</t>
  </si>
  <si>
    <t>Cash reserves fall below six months.</t>
  </si>
  <si>
    <t>Drawdowns continue increasing.</t>
  </si>
  <si>
    <t>Retirement goals can no longer be achieved.</t>
  </si>
  <si>
    <t>The Retirement Design Index™ declines.</t>
  </si>
  <si>
    <t>The earlier a problem is identified, the more options you have to correct it.</t>
  </si>
  <si>
    <t>Engineering Review</t>
  </si>
  <si>
    <t>Like any engineering model or spreadsheet, this workbook should be reviewed periodically.</t>
  </si>
  <si>
    <t>Before relying on the results:</t>
  </si>
  <si>
    <t>Verify all yellow input cells.</t>
  </si>
  <si>
    <t>Review assumptions annually.</t>
  </si>
  <si>
    <t>Confirm major financial changes.</t>
  </si>
  <si>
    <t>Compare results with other planning tools when appropriate.</t>
  </si>
  <si>
    <t>Consult qualified financial, tax, legal, or accounting professionals before making significant financial decisions.</t>
  </si>
  <si>
    <t>The quality of the results depends on the quality of the information entered.</t>
  </si>
  <si>
    <t>Disclosure</t>
  </si>
  <si>
    <t>The Design Retirement Planner™ is provided for educational and planning purposes.</t>
  </si>
  <si>
    <t>It is not intended to provide investment, legal, tax, or accounting advice and does not guarantee future financial results.</t>
  </si>
  <si>
    <t>Future investment returns, inflation, taxes, healthcare costs, and life expectancy cannot be predicted with certainty.</t>
  </si>
  <si>
    <t>This planner is intended to help users make more informed retirement decisions—not to eliminate uncertainty.</t>
  </si>
  <si>
    <t>The author would like to acknowledge the assistance of OpenAI's ChatGPT as an AI research and writing assistant during the development of this workbook.</t>
  </si>
  <si>
    <t>ChatGPT contributed to brainstorming ideas, refining technical explanations, improving organization, reviewing calculations and documentation, editing text, and helping develop the engineering framework used throughout this project.</t>
  </si>
  <si>
    <t>While AI served as a valuable research and writing assistant, all concepts, engineering principles, financial philosophy, conclusions, and final content decisions remain the responsibility of the author.</t>
  </si>
  <si>
    <t>Revision Control</t>
  </si>
  <si>
    <t>Current Revision: Rev 10.0</t>
  </si>
  <si>
    <t>Release Date: August 2026</t>
  </si>
  <si>
    <t>Future improvements will be documented through engineering revision control (Rev 9.1, Rev 9.2, Rev 10.0, etc.).</t>
  </si>
  <si>
    <t>Engineering is the process of continuous improvement.</t>
  </si>
  <si>
    <t>Your retirement plan should improve every year.</t>
  </si>
  <si>
    <t>Review it. Challenge it. Improve it. Then review it again next year.</t>
  </si>
  <si>
    <t>CONSTANT 2026 DOLLARS</t>
  </si>
  <si>
    <t>RETIREMENT CASH FLOW MODEL</t>
  </si>
  <si>
    <t>Charles AGE</t>
  </si>
  <si>
    <t>SAMPLE</t>
  </si>
  <si>
    <t>Category</t>
  </si>
  <si>
    <t>Budget Annually</t>
  </si>
  <si>
    <t>Actual Annually</t>
  </si>
  <si>
    <t>INCOME</t>
  </si>
  <si>
    <t>Social Security or Income</t>
  </si>
  <si>
    <t>Person</t>
  </si>
  <si>
    <t>Total Social Security</t>
  </si>
  <si>
    <t>Pension / 401K</t>
  </si>
  <si>
    <t>Total Pension</t>
  </si>
  <si>
    <t>Investment Income</t>
  </si>
  <si>
    <t xml:space="preserve">Annuity </t>
  </si>
  <si>
    <t>Schwab ind income Person</t>
  </si>
  <si>
    <t>Bank interet</t>
  </si>
  <si>
    <t>Other Income total</t>
  </si>
  <si>
    <t>Total Operating Income</t>
  </si>
  <si>
    <t>ASSET DRAWDOWNS</t>
  </si>
  <si>
    <t>IRA distribution Person</t>
  </si>
  <si>
    <t>Total Asset Drawdowns</t>
  </si>
  <si>
    <t xml:space="preserve">IRA ASSETS </t>
  </si>
  <si>
    <t>Drawdown vs Growth</t>
  </si>
  <si>
    <t>EXPENSES</t>
  </si>
  <si>
    <t>Housing</t>
  </si>
  <si>
    <t>Utilities</t>
  </si>
  <si>
    <t>Food</t>
  </si>
  <si>
    <t>Transportation</t>
  </si>
  <si>
    <t>Medical</t>
  </si>
  <si>
    <t>Insurance</t>
  </si>
  <si>
    <t>Travel</t>
  </si>
  <si>
    <t>Vehicle Maintenance</t>
  </si>
  <si>
    <t>Home Maintenance</t>
  </si>
  <si>
    <t>Entertainment</t>
  </si>
  <si>
    <t>Other Expenses</t>
  </si>
  <si>
    <t>Federal Income Tax</t>
  </si>
  <si>
    <t>State Income Tax</t>
  </si>
  <si>
    <t>Property Tax</t>
  </si>
  <si>
    <t>Vehicle Tax</t>
  </si>
  <si>
    <t>Other monthly credit card payoff</t>
  </si>
  <si>
    <t>Grandchildren Gifts</t>
  </si>
  <si>
    <t>Total Expenses</t>
  </si>
  <si>
    <t>SUMMARY</t>
  </si>
  <si>
    <t>Net Cash Flow</t>
  </si>
  <si>
    <t>5% Savings Goal</t>
  </si>
  <si>
    <t>Savings Transfer (Actual)</t>
  </si>
  <si>
    <t>RETIREMENT CASH FLOW MODEL - V8</t>
  </si>
  <si>
    <t>RETIREMENT DASHBOARD</t>
  </si>
  <si>
    <t>Notes</t>
  </si>
  <si>
    <t>OPERATING INCOME</t>
  </si>
  <si>
    <t>Counts toward 5% savings goal</t>
  </si>
  <si>
    <t>Asset Drawdowns</t>
  </si>
  <si>
    <t>Social Security - Person</t>
  </si>
  <si>
    <t>Total Cash Available</t>
  </si>
  <si>
    <t>Pension - Person</t>
  </si>
  <si>
    <t>Cash Flow Incl. Drawdowns</t>
  </si>
  <si>
    <t>Savings Transfer / Achieved</t>
  </si>
  <si>
    <t>Savings Rate Achieved</t>
  </si>
  <si>
    <t>Drawdowns % of Cash Available</t>
  </si>
  <si>
    <t>Schwab Income - Person</t>
  </si>
  <si>
    <t>F&amp;M Bank Interest</t>
  </si>
  <si>
    <t>Total Investment / Interest Income</t>
  </si>
  <si>
    <t>Other Recurring Income</t>
  </si>
  <si>
    <t>TOTAL OPERATING INCOME</t>
  </si>
  <si>
    <t>5% savings goal is based on this line only</t>
  </si>
  <si>
    <t>Shown separately; excluded from 5% savings goal</t>
  </si>
  <si>
    <t>IRA/RMD Distribution - Person</t>
  </si>
  <si>
    <t>Asset drawdown; not operating income</t>
  </si>
  <si>
    <t>Other Asset Drawdowns</t>
  </si>
  <si>
    <t>TOTAL ASSET DRAWDOWNS</t>
  </si>
  <si>
    <t>TOTAL CASH AVAILABLE</t>
  </si>
  <si>
    <t>Operating income plus asset drawdowns</t>
  </si>
  <si>
    <t>Annual spending / outflows</t>
  </si>
  <si>
    <t>Family legacy expense</t>
  </si>
  <si>
    <t>From current estimate/screenshot</t>
  </si>
  <si>
    <t>Other Taxes</t>
  </si>
  <si>
    <t>TOTAL EXPENSES</t>
  </si>
  <si>
    <t>Operating income minus expenses</t>
  </si>
  <si>
    <t>Cash Flow Including Drawdowns</t>
  </si>
  <si>
    <t>Total cash available minus expenses</t>
  </si>
  <si>
    <t>5% of operating income only</t>
  </si>
  <si>
    <t>Manual input</t>
  </si>
  <si>
    <t>Remaining Cash Flow After Savings</t>
  </si>
  <si>
    <t>Cash flow incl. drawdowns minus savings transfer</t>
  </si>
  <si>
    <t>Savings transfer divided by operating income</t>
  </si>
  <si>
    <t>Drawdowns as % of Cash Available</t>
  </si>
  <si>
    <t>Shows reliance on asset drawdowns</t>
  </si>
  <si>
    <t>CAPITAL &amp; NET WORTH</t>
  </si>
  <si>
    <t>2025</t>
  </si>
  <si>
    <t>2026</t>
  </si>
  <si>
    <t>2027</t>
  </si>
  <si>
    <t>2028</t>
  </si>
  <si>
    <t>2029</t>
  </si>
  <si>
    <t>ASSETS</t>
  </si>
  <si>
    <t>Stocks / Brokerage Account</t>
  </si>
  <si>
    <t>Manual input: year-end value of taxable stocks/brokerage</t>
  </si>
  <si>
    <t>Schwab Individual Account - Person</t>
  </si>
  <si>
    <t>Manual input: Charles Schwab individual taxable account year-end value</t>
  </si>
  <si>
    <t>Manual input: Sarah Schwab individual taxable account year-end value</t>
  </si>
  <si>
    <t>Person IRA</t>
  </si>
  <si>
    <t>Manual input: Charles IRA year-end value</t>
  </si>
  <si>
    <t>Manual input: Sarah IRA year-end value</t>
  </si>
  <si>
    <t>Savings / Money Market</t>
  </si>
  <si>
    <t>Manual input: cash, savings, and money market balances</t>
  </si>
  <si>
    <t>Manual input: John Hancock annuity value</t>
  </si>
  <si>
    <t>Home Value</t>
  </si>
  <si>
    <t>Manual input: estimated home market value</t>
  </si>
  <si>
    <t>Car Value</t>
  </si>
  <si>
    <t>Manual input: Taycan current value</t>
  </si>
  <si>
    <t>Manual input: Volt current value</t>
  </si>
  <si>
    <t>Other Assets</t>
  </si>
  <si>
    <t>Manual input: other assets</t>
  </si>
  <si>
    <t>Formula: sum of assets</t>
  </si>
  <si>
    <t>LIABILITIES</t>
  </si>
  <si>
    <t>Mortgage Remaining</t>
  </si>
  <si>
    <t>Manual input: mortgage principal remaining</t>
  </si>
  <si>
    <t>Car Loan Remaining</t>
  </si>
  <si>
    <t>Manual input: Taycan loan principal remaining</t>
  </si>
  <si>
    <t>Manual input: Volt loan principal remaining</t>
  </si>
  <si>
    <t>Credit Cards</t>
  </si>
  <si>
    <t>Manual input: credit card balances</t>
  </si>
  <si>
    <t>Other Debt</t>
  </si>
  <si>
    <t>Manual input: other debts</t>
  </si>
  <si>
    <t>Formula: sum of liabilities</t>
  </si>
  <si>
    <t>RETIREMENT SAFETY METRICS</t>
  </si>
  <si>
    <t>Formula: Total Assets - Total Liabilities</t>
  </si>
  <si>
    <t>Formula: Home Value - Mortgage</t>
  </si>
  <si>
    <t>Formula: Vehicle Values - Vehicle Loans</t>
  </si>
  <si>
    <t>Formula: Brokerage + Schwab Individual + IRAs + Savings/Money Market</t>
  </si>
  <si>
    <t>Annual Expenses</t>
  </si>
  <si>
    <t>Links to 2025 Cash Flow total expenses; enter future years</t>
  </si>
  <si>
    <t>Years Expenses Covered by Liquid Assets</t>
  </si>
  <si>
    <t>Formula: Liquid Assets / Annual Expenses</t>
  </si>
  <si>
    <t>Formula: Total Liabilities / Total Assets</t>
  </si>
  <si>
    <t>Formula: Remaining Cash Flow / Total Expenses</t>
  </si>
  <si>
    <t>Remaining Cash Flow / Total Expenses</t>
  </si>
  <si>
    <t>JACOBUS FAMILY RETIREMENT ANNUAL REPORT</t>
  </si>
  <si>
    <t>Fiscal Year</t>
  </si>
  <si>
    <t>FY 2025</t>
  </si>
  <si>
    <t>EXECUTIVE SUMMARY</t>
  </si>
  <si>
    <t>Overall Retirement Grade</t>
  </si>
  <si>
    <t>CASH FLOW PERFORMANCE</t>
  </si>
  <si>
    <t>Metric</t>
  </si>
  <si>
    <t>Amount</t>
  </si>
  <si>
    <t>Assessment</t>
  </si>
  <si>
    <t>Savings Transfer Achieved</t>
  </si>
  <si>
    <t>CAPITAL POSITION</t>
  </si>
  <si>
    <t>Tracked annuity asset</t>
  </si>
  <si>
    <t>Result</t>
  </si>
  <si>
    <t>LEGACY AND FAMILY SUPPORT</t>
  </si>
  <si>
    <t>Tracked as a separate family legacy expense</t>
  </si>
  <si>
    <t>CURRENT CASH-FLOW POSITION</t>
  </si>
  <si>
    <t>FORTY-YEAR GOAL ASSESSMENT</t>
  </si>
  <si>
    <t>First Year Below 2 Years Reserve</t>
  </si>
  <si>
    <t>Early-warning threshold</t>
  </si>
  <si>
    <t>First Year Below 6 Months Reserve</t>
  </si>
  <si>
    <t>Serious-warning threshold</t>
  </si>
  <si>
    <t>First Year Capital Is Exhausted</t>
  </si>
  <si>
    <t>Critical threshold</t>
  </si>
  <si>
    <t>Ending Liquid Capital</t>
  </si>
  <si>
    <t>Note</t>
  </si>
  <si>
    <t>The forty-year assessment is an engineering scenario based on user-entered assumptions. It is not a probability, forecast, or guarantee.</t>
  </si>
  <si>
    <t>This report is linked to the Retirement Cash Flow sheet through Cash Flow V8. Expense changes on the primary cash-flow sheet should flow to the dashboard, capital safety metrics, and annual report.</t>
  </si>
  <si>
    <t>RETIREMENT GOALS &amp; 40-YEAR DESIGN ASSESSMENT</t>
  </si>
  <si>
    <t>Yellow cells are user inputs. The projection is an engineering model, not a prediction or guarantee.</t>
  </si>
  <si>
    <t>PLANNING ASSUMPTIONS &amp; RETIREMENT GOALS</t>
  </si>
  <si>
    <t>RETIREMENT DESIGN ASSESSMENT</t>
  </si>
  <si>
    <t>LIFE STAGE PLANNING</t>
  </si>
  <si>
    <t>Projection Start Year</t>
  </si>
  <si>
    <t>Beginning year of the 40-year projection</t>
  </si>
  <si>
    <t>User input</t>
  </si>
  <si>
    <t>Linked from Current Age</t>
  </si>
  <si>
    <t>Projection Years</t>
  </si>
  <si>
    <t>Fixed design horizon</t>
  </si>
  <si>
    <t>Locked calculation assumption</t>
  </si>
  <si>
    <t>Overall Goal Outlook</t>
  </si>
  <si>
    <t>Yellow user input</t>
  </si>
  <si>
    <t>Current Age</t>
  </si>
  <si>
    <t>Linked to Retirement Cash Flow</t>
  </si>
  <si>
    <t>Linked</t>
  </si>
  <si>
    <t>First Year Annual Cash Flow Is Negative</t>
  </si>
  <si>
    <t>Annual Inflation Rate</t>
  </si>
  <si>
    <t>Growth rate applied to the base annual budget</t>
  </si>
  <si>
    <t>First Year Reserve Falls Below 2 Years</t>
  </si>
  <si>
    <t>Calculated</t>
  </si>
  <si>
    <t>Expected Annual Investment Return</t>
  </si>
  <si>
    <t>Assumed return on remaining liquid capital</t>
  </si>
  <si>
    <t>First Year Reserve Falls Below 6 Months</t>
  </si>
  <si>
    <t>Annual Income Growth / COLA</t>
  </si>
  <si>
    <t>Growth rate applied to operating income</t>
  </si>
  <si>
    <t>First Year Liquid Capital Is Exhausted</t>
  </si>
  <si>
    <t>Calculated from current age and planned retirement age</t>
  </si>
  <si>
    <t>Starting Operating Income</t>
  </si>
  <si>
    <t>Linked to Cash Flow V8 actual operating income</t>
  </si>
  <si>
    <t>Urgency reflects both financial condition and time available to respond</t>
  </si>
  <si>
    <t>Starting Liquid Assets</t>
  </si>
  <si>
    <t>Linked to Capital &amp; Net Worth</t>
  </si>
  <si>
    <t>Ending Reserve (Years)</t>
  </si>
  <si>
    <t>Current Total Assets</t>
  </si>
  <si>
    <t>Years with Positive Annual Cash Flow</t>
  </si>
  <si>
    <t>Linked from Capital &amp; Net Worth</t>
  </si>
  <si>
    <t>Current Total Debt</t>
  </si>
  <si>
    <t>Years with Capital Remaining</t>
  </si>
  <si>
    <t>Desired Annual Lifestyle Budget</t>
  </si>
  <si>
    <t>Stated retirement lifestyle goal in today's dollars</t>
  </si>
  <si>
    <t>Unsecured Consumer Line of Credit</t>
  </si>
  <si>
    <t>Desired Annual Family Gifting</t>
  </si>
  <si>
    <t>Included within the lifestyle budget unless separately adjusted</t>
  </si>
  <si>
    <t>HOW TO INTERPRET THE WARNINGS</t>
  </si>
  <si>
    <t>Desired Annual Travel Budget</t>
  </si>
  <si>
    <t>ON TRACK</t>
  </si>
  <si>
    <t>Positive annual cash flow and at least two years of projected reserves.</t>
  </si>
  <si>
    <t>Desired Remaining Capital at End</t>
  </si>
  <si>
    <t>Target liquid capital remaining after 40 years</t>
  </si>
  <si>
    <t>CAUTION</t>
  </si>
  <si>
    <t>Annual cash flow is negative, although reserves remain above two years.</t>
  </si>
  <si>
    <t>Target Cash Reserve</t>
  </si>
  <si>
    <t>Desired years of annual spending held in liquid capital</t>
  </si>
  <si>
    <t>WARNING</t>
  </si>
  <si>
    <t>Projected reserves are below two years of annual spending.</t>
  </si>
  <si>
    <t>CRITICAL</t>
  </si>
  <si>
    <t>Projected reserves are below six months or liquid capital is exhausted.</t>
  </si>
  <si>
    <t>Year</t>
  </si>
  <si>
    <t>Age</t>
  </si>
  <si>
    <t>Inflation Budget</t>
  </si>
  <si>
    <t>Annual Budget Override</t>
  </si>
  <si>
    <t>Budget Used</t>
  </si>
  <si>
    <t>Annual Cash Flow</t>
  </si>
  <si>
    <t>Beginning Liquid Capital</t>
  </si>
  <si>
    <t>Investment Growth</t>
  </si>
  <si>
    <t>Reserve Years</t>
  </si>
  <si>
    <t>Reserve / Cash-Flow Status</t>
  </si>
  <si>
    <t>Goal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</si>
</sst>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Red]\(\$#,##0\);\-"/>
    <numFmt numFmtId="166" formatCode="\$#,##0;\(\$#,##0\);\-"/>
    <numFmt numFmtId="167" formatCode="0.0%"/>
    <numFmt numFmtId="168" formatCode="0.00;[Red]\(0.00\);\-"/>
    <numFmt numFmtId="169" formatCode="0.0%;[Red]\(0.0%\);\-"/>
  </numFmts>
  <fonts count="29" x14ac:knownFonts="1">
    <font>
      <sz val="11"/>
      <color theme="1"/>
      <name val="Calibri"/>
    </font>
    <font>
      <b/>
      <sz val="11"/>
      <name val="Calibri"/>
    </font>
    <font>
      <b/>
      <sz val="11"/>
      <color theme="1"/>
      <name val="Calibri"/>
    </font>
    <font>
      <b/>
      <sz val="11"/>
      <color rgb="FFFF0000"/>
      <name val="Calibri"/>
    </font>
    <font>
      <b/>
      <sz val="11"/>
      <name val="Calibri"/>
    </font>
    <font>
      <sz val="11"/>
      <color theme="1"/>
      <name val="Times New Roman"/>
    </font>
    <font>
      <sz val="10"/>
      <color indexed="8"/>
      <name val="Times New Roman"/>
    </font>
    <font>
      <sz val="10"/>
      <color theme="1"/>
      <name val="Times New Roman"/>
    </font>
    <font>
      <b/>
      <sz val="10"/>
      <color indexed="8"/>
      <name val="Times New Roman"/>
    </font>
    <font>
      <b/>
      <sz val="10"/>
      <color theme="1"/>
      <name val="Times New Roman"/>
    </font>
    <font>
      <b/>
      <sz val="14"/>
      <color rgb="FFFFFFFF"/>
      <name val="Calibri"/>
    </font>
    <font>
      <b/>
      <sz val="11"/>
      <color rgb="FFFFFFFF"/>
      <name val="Calibri"/>
    </font>
    <font>
      <b/>
      <sz val="16"/>
      <color rgb="FFFFFFFF"/>
      <name val="Calibri"/>
    </font>
    <font>
      <i/>
      <sz val="11"/>
      <color theme="1"/>
      <name val="Calibri"/>
    </font>
    <font>
      <sz val="11"/>
      <color theme="1"/>
      <name val="Calibri"/>
    </font>
    <font>
      <b/>
      <sz val="22"/>
      <color rgb="FFFFFFFF"/>
      <name val="Calibri"/>
    </font>
    <font>
      <b/>
      <sz val="14"/>
      <color rgb="FFFF0000"/>
      <name val="Calibri"/>
    </font>
    <font>
      <i/>
      <sz val="11"/>
      <color rgb="FF17365D"/>
      <name val="Calibri"/>
    </font>
    <font>
      <sz val="11"/>
      <color rgb="FF0000FF"/>
      <name val="Calibri"/>
    </font>
    <font>
      <sz val="11"/>
      <color rgb="FF000000"/>
      <name val="Calibri"/>
    </font>
    <font>
      <sz val="11"/>
      <color rgb="FF008000"/>
      <name val="Calibri"/>
    </font>
    <font>
      <b/>
      <sz val="14"/>
      <color theme="1"/>
      <name val="Calibri"/>
    </font>
    <font>
      <b/>
      <sz val="11"/>
      <color rgb="FF17365D"/>
      <name val="Calibri"/>
    </font>
    <font>
      <b/>
      <sz val="11"/>
      <name val="Calibri"/>
    </font>
    <font>
      <b/>
      <sz val="24"/>
      <color theme="1"/>
      <name val="Calibri"/>
    </font>
    <font>
      <b/>
      <sz val="18"/>
      <color theme="1"/>
      <name val="Calibri"/>
    </font>
    <font>
      <b/>
      <sz val="13"/>
      <color theme="1"/>
      <name val="Calibri"/>
    </font>
    <font>
      <b/>
      <sz val="11"/>
      <color rgb="FF000000"/>
      <name val="Calibri"/>
    </font>
    <font>
      <i/>
      <sz val="11"/>
      <color rgb="FF666666"/>
      <name val="Calibri"/>
    </font>
  </fonts>
  <fills count="23">
    <fill>
      <patternFill patternType="none"/>
    </fill>
    <fill>
      <patternFill patternType="gray125"/>
    </fill>
    <fill>
      <patternFill patternType="solid">
        <fgColor rgb="FF1F4E79"/>
      </patternFill>
    </fill>
    <fill>
      <patternFill patternType="solid">
        <fgColor rgb="FFD9EAF7"/>
      </patternFill>
    </fill>
    <fill>
      <patternFill patternType="solid">
        <fgColor rgb="FFE2F0D9"/>
      </patternFill>
    </fill>
    <fill>
      <patternFill patternType="solid">
        <fgColor rgb="FF1F4E78"/>
      </patternFill>
    </fill>
    <fill>
      <patternFill patternType="solid">
        <fgColor rgb="FF5B9BD5"/>
      </patternFill>
    </fill>
    <fill>
      <patternFill patternType="solid">
        <fgColor rgb="FFD9EAF7"/>
      </patternFill>
    </fill>
    <fill>
      <patternFill patternType="solid">
        <fgColor rgb="FF1F4E78"/>
      </patternFill>
    </fill>
    <fill>
      <patternFill patternType="solid">
        <fgColor rgb="FFD9EAF7"/>
      </patternFill>
    </fill>
    <fill>
      <patternFill patternType="solid">
        <fgColor rgb="FFE2F0D9"/>
      </patternFill>
    </fill>
    <fill>
      <patternFill patternType="solid">
        <fgColor rgb="FFFFF2CC"/>
      </patternFill>
    </fill>
    <fill>
      <patternFill patternType="solid">
        <fgColor rgb="FFFFF59D"/>
      </patternFill>
    </fill>
    <fill>
      <patternFill patternType="solid">
        <fgColor rgb="FF17365D"/>
      </patternFill>
    </fill>
    <fill>
      <patternFill patternType="solid">
        <fgColor rgb="FFD9EAF7"/>
      </patternFill>
    </fill>
    <fill>
      <patternFill patternType="solid">
        <fgColor rgb="FF1F4E78"/>
      </patternFill>
    </fill>
    <fill>
      <patternFill patternType="solid">
        <fgColor rgb="FFFFF59D"/>
      </patternFill>
    </fill>
    <fill>
      <patternFill patternType="solid">
        <fgColor rgb="FFE7E6E6"/>
      </patternFill>
    </fill>
    <fill>
      <patternFill patternType="solid">
        <fgColor rgb="FFD6B656"/>
      </patternFill>
    </fill>
    <fill>
      <patternFill patternType="solid">
        <fgColor rgb="FFFCE4D6"/>
      </patternFill>
    </fill>
    <fill>
      <patternFill patternType="solid">
        <fgColor rgb="FF17365D"/>
      </patternFill>
    </fill>
    <fill>
      <patternFill patternType="solid">
        <fgColor rgb="FFD9EAF7"/>
      </patternFill>
    </fill>
    <fill>
      <patternFill patternType="solid">
        <fgColor rgb="FFFFF2CC"/>
      </patternFill>
    </fill>
  </fills>
  <borders count="2">
    <border>
      <left/>
      <right/>
      <top/>
      <bottom/>
      <diagonal/>
    </border>
    <border>
      <left/>
      <right/>
      <top/>
      <bottom/>
      <diagonal/>
    </border>
  </borders>
  <cellStyleXfs count="1">
    <xf numFmtId="0" fontId="0" fillId="0" borderId="1"/>
  </cellStyleXfs>
  <cellXfs count="106">
    <xf numFmtId="0" fontId="0" fillId="0" borderId="0" xfId="0" applyBorder="1"/>
    <xf numFmtId="0" fontId="1" fillId="0" borderId="0" xfId="0" applyFont="1" applyBorder="1"/>
    <xf numFmtId="0" fontId="3" fillId="0" borderId="0" xfId="0" applyFont="1" applyBorder="1"/>
    <xf numFmtId="0" fontId="4" fillId="0" borderId="0" xfId="0" applyFont="1" applyBorder="1"/>
    <xf numFmtId="164" fontId="0" fillId="0" borderId="0" xfId="0" applyNumberFormat="1" applyBorder="1"/>
    <xf numFmtId="164" fontId="4" fillId="0" borderId="0" xfId="0" applyNumberFormat="1" applyFont="1" applyBorder="1"/>
    <xf numFmtId="0" fontId="6" fillId="0" borderId="0" xfId="0" applyFont="1" applyBorder="1"/>
    <xf numFmtId="0" fontId="2" fillId="0" borderId="0" xfId="0" applyFont="1" applyBorder="1"/>
    <xf numFmtId="164" fontId="2" fillId="0" borderId="0" xfId="0" applyNumberFormat="1" applyFont="1" applyBorder="1"/>
    <xf numFmtId="0" fontId="8" fillId="0" borderId="0" xfId="0" applyFont="1" applyBorder="1"/>
    <xf numFmtId="165" fontId="0" fillId="0" borderId="0" xfId="0" applyNumberFormat="1" applyBorder="1"/>
    <xf numFmtId="165" fontId="2" fillId="0" borderId="0" xfId="0" applyNumberFormat="1" applyFont="1" applyBorder="1"/>
    <xf numFmtId="165" fontId="9" fillId="0" borderId="0" xfId="0" applyNumberFormat="1" applyFont="1" applyBorder="1" applyAlignment="1">
      <alignment horizontal="right"/>
    </xf>
    <xf numFmtId="0" fontId="10" fillId="2" borderId="0" xfId="0" applyFont="1" applyFill="1" applyBorder="1" applyAlignment="1">
      <alignment wrapText="1"/>
    </xf>
    <xf numFmtId="0" fontId="2" fillId="3" borderId="0" xfId="0" applyFont="1" applyFill="1" applyBorder="1" applyAlignment="1">
      <alignment wrapText="1"/>
    </xf>
    <xf numFmtId="0" fontId="2" fillId="4" borderId="0" xfId="0" applyFont="1" applyFill="1" applyBorder="1" applyAlignment="1">
      <alignment wrapText="1"/>
    </xf>
    <xf numFmtId="0" fontId="0" fillId="0" borderId="0" xfId="0" applyBorder="1" applyAlignment="1">
      <alignment wrapText="1"/>
    </xf>
    <xf numFmtId="166" fontId="0" fillId="0" borderId="0" xfId="0" applyNumberFormat="1" applyBorder="1" applyAlignment="1">
      <alignment wrapText="1"/>
    </xf>
    <xf numFmtId="0" fontId="2" fillId="0" borderId="0" xfId="0" applyFont="1" applyBorder="1" applyAlignment="1">
      <alignment wrapText="1"/>
    </xf>
    <xf numFmtId="166" fontId="2" fillId="0" borderId="0" xfId="0" applyNumberFormat="1" applyFont="1" applyBorder="1" applyAlignment="1">
      <alignment wrapText="1"/>
    </xf>
    <xf numFmtId="166" fontId="2" fillId="4" borderId="0" xfId="0" applyNumberFormat="1" applyFont="1" applyFill="1" applyBorder="1" applyAlignment="1">
      <alignment wrapText="1"/>
    </xf>
    <xf numFmtId="167" fontId="2" fillId="0" borderId="0" xfId="0" applyNumberFormat="1" applyFont="1" applyBorder="1" applyAlignment="1">
      <alignment wrapText="1"/>
    </xf>
    <xf numFmtId="0" fontId="11" fillId="2" borderId="0" xfId="0" applyFont="1" applyFill="1" applyBorder="1"/>
    <xf numFmtId="167" fontId="0" fillId="0" borderId="0" xfId="0" applyNumberFormat="1" applyBorder="1"/>
    <xf numFmtId="0" fontId="11" fillId="5" borderId="0" xfId="0" applyFont="1" applyFill="1" applyBorder="1" applyAlignment="1">
      <alignment horizontal="center"/>
    </xf>
    <xf numFmtId="0" fontId="11" fillId="6" borderId="0" xfId="0" applyFont="1" applyFill="1" applyBorder="1" applyAlignment="1">
      <alignment horizontal="center"/>
    </xf>
    <xf numFmtId="0" fontId="2" fillId="7" borderId="0" xfId="0" applyFont="1" applyFill="1" applyBorder="1" applyAlignment="1">
      <alignment horizontal="left"/>
    </xf>
    <xf numFmtId="167" fontId="2" fillId="0" borderId="0" xfId="0" applyNumberFormat="1" applyFont="1" applyBorder="1"/>
    <xf numFmtId="0" fontId="11" fillId="8" borderId="0" xfId="0" applyFont="1" applyFill="1" applyBorder="1"/>
    <xf numFmtId="0" fontId="2" fillId="9" borderId="0" xfId="0" applyFont="1" applyFill="1" applyBorder="1"/>
    <xf numFmtId="0" fontId="2" fillId="10" borderId="0" xfId="0" applyFont="1" applyFill="1" applyBorder="1"/>
    <xf numFmtId="0" fontId="11" fillId="5" borderId="0" xfId="0" applyFont="1" applyFill="1" applyBorder="1" applyAlignment="1">
      <alignment wrapText="1"/>
    </xf>
    <xf numFmtId="0" fontId="13" fillId="11" borderId="0" xfId="0" applyFont="1" applyFill="1" applyBorder="1" applyAlignment="1">
      <alignment wrapText="1"/>
    </xf>
    <xf numFmtId="0" fontId="14" fillId="0" borderId="0" xfId="0" applyFont="1" applyBorder="1"/>
    <xf numFmtId="165" fontId="10" fillId="2" borderId="0" xfId="0" applyNumberFormat="1" applyFont="1" applyFill="1" applyBorder="1" applyAlignment="1">
      <alignment wrapText="1"/>
    </xf>
    <xf numFmtId="165" fontId="11" fillId="5" borderId="0" xfId="0" applyNumberFormat="1" applyFont="1" applyFill="1" applyBorder="1" applyAlignment="1">
      <alignment horizontal="center"/>
    </xf>
    <xf numFmtId="165" fontId="11" fillId="5" borderId="0" xfId="0" applyNumberFormat="1" applyFont="1" applyFill="1" applyBorder="1"/>
    <xf numFmtId="165" fontId="2" fillId="3" borderId="0" xfId="0" applyNumberFormat="1" applyFont="1" applyFill="1" applyBorder="1"/>
    <xf numFmtId="0" fontId="2" fillId="0" borderId="0" xfId="0" applyFont="1" applyBorder="1" applyAlignment="1">
      <alignment horizontal="right"/>
    </xf>
    <xf numFmtId="165" fontId="2" fillId="3" borderId="0" xfId="0" applyNumberFormat="1" applyFont="1" applyFill="1" applyBorder="1" applyAlignment="1">
      <alignment horizontal="left"/>
    </xf>
    <xf numFmtId="168" fontId="2" fillId="0" borderId="0" xfId="0" applyNumberFormat="1" applyFont="1" applyBorder="1"/>
    <xf numFmtId="169" fontId="2" fillId="0" borderId="0" xfId="0" applyNumberFormat="1" applyFont="1" applyBorder="1"/>
    <xf numFmtId="168" fontId="2" fillId="3" borderId="0" xfId="0" applyNumberFormat="1" applyFont="1" applyFill="1" applyBorder="1"/>
    <xf numFmtId="169" fontId="0" fillId="0" borderId="0" xfId="0" applyNumberFormat="1" applyBorder="1"/>
    <xf numFmtId="168" fontId="0" fillId="0" borderId="0" xfId="0" applyNumberFormat="1" applyBorder="1"/>
    <xf numFmtId="165" fontId="5" fillId="12" borderId="0" xfId="0" applyNumberFormat="1" applyFont="1" applyFill="1" applyBorder="1"/>
    <xf numFmtId="165" fontId="0" fillId="12" borderId="0" xfId="0" applyNumberFormat="1" applyFill="1" applyBorder="1"/>
    <xf numFmtId="165" fontId="2" fillId="12" borderId="0" xfId="0" applyNumberFormat="1" applyFont="1" applyFill="1" applyBorder="1"/>
    <xf numFmtId="165" fontId="7" fillId="12" borderId="0" xfId="0" applyNumberFormat="1" applyFont="1" applyFill="1" applyBorder="1" applyAlignment="1">
      <alignment horizontal="right"/>
    </xf>
    <xf numFmtId="0" fontId="0" fillId="12" borderId="0" xfId="0" applyFill="1" applyBorder="1"/>
    <xf numFmtId="165" fontId="14" fillId="12" borderId="1" xfId="0" applyNumberFormat="1" applyFont="1" applyFill="1"/>
    <xf numFmtId="0" fontId="15" fillId="2" borderId="0" xfId="0" applyFont="1" applyFill="1" applyBorder="1"/>
    <xf numFmtId="0" fontId="14" fillId="0" borderId="0" xfId="0" applyFont="1" applyBorder="1" applyAlignment="1">
      <alignment vertical="top" wrapText="1"/>
    </xf>
    <xf numFmtId="0" fontId="0" fillId="0" borderId="1" xfId="0"/>
    <xf numFmtId="0" fontId="14" fillId="0" borderId="0" xfId="0" applyFont="1" applyBorder="1" applyAlignment="1">
      <alignment wrapText="1"/>
    </xf>
    <xf numFmtId="0" fontId="11" fillId="15" borderId="0" xfId="0" applyFont="1" applyFill="1" applyBorder="1"/>
    <xf numFmtId="0" fontId="2" fillId="0" borderId="0" xfId="0" applyFont="1" applyBorder="1" applyAlignment="1">
      <alignment vertical="center"/>
    </xf>
    <xf numFmtId="0" fontId="0" fillId="0" borderId="0" xfId="0" applyBorder="1" applyAlignment="1">
      <alignment vertical="center" wrapText="1"/>
    </xf>
    <xf numFmtId="1" fontId="18" fillId="16" borderId="0" xfId="0" applyNumberFormat="1" applyFont="1" applyFill="1" applyBorder="1" applyAlignment="1">
      <alignment vertical="center"/>
    </xf>
    <xf numFmtId="169" fontId="18" fillId="16" borderId="0" xfId="0" applyNumberFormat="1" applyFont="1" applyFill="1" applyBorder="1" applyAlignment="1">
      <alignment vertical="center"/>
    </xf>
    <xf numFmtId="165" fontId="18" fillId="16" borderId="0" xfId="0" applyNumberFormat="1" applyFont="1" applyFill="1" applyBorder="1" applyAlignment="1">
      <alignment vertical="center"/>
    </xf>
    <xf numFmtId="2" fontId="18" fillId="16" borderId="0" xfId="0" applyNumberFormat="1" applyFont="1" applyFill="1" applyBorder="1" applyAlignment="1">
      <alignment vertical="center"/>
    </xf>
    <xf numFmtId="1" fontId="19" fillId="17" borderId="0" xfId="0" applyNumberFormat="1" applyFont="1" applyFill="1" applyBorder="1" applyAlignment="1">
      <alignment vertical="center"/>
    </xf>
    <xf numFmtId="1" fontId="20" fillId="14" borderId="0" xfId="0" applyNumberFormat="1" applyFont="1" applyFill="1" applyBorder="1" applyAlignment="1">
      <alignment vertical="center"/>
    </xf>
    <xf numFmtId="165" fontId="20" fillId="14" borderId="0" xfId="0" applyNumberFormat="1" applyFont="1" applyFill="1" applyBorder="1" applyAlignment="1">
      <alignment vertical="center"/>
    </xf>
    <xf numFmtId="0" fontId="11" fillId="13" borderId="0" xfId="0" applyFont="1" applyFill="1" applyBorder="1" applyAlignment="1">
      <alignment horizontal="center" vertical="center" wrapText="1"/>
    </xf>
    <xf numFmtId="165" fontId="18" fillId="16" borderId="0" xfId="0" applyNumberFormat="1" applyFont="1" applyFill="1" applyBorder="1"/>
    <xf numFmtId="1" fontId="0" fillId="0" borderId="0" xfId="0" applyNumberFormat="1" applyBorder="1"/>
    <xf numFmtId="2" fontId="0" fillId="0" borderId="0" xfId="0" applyNumberFormat="1" applyBorder="1"/>
    <xf numFmtId="0" fontId="11" fillId="15" borderId="0" xfId="0" applyFont="1" applyFill="1" applyBorder="1" applyAlignment="1">
      <alignment wrapText="1"/>
    </xf>
    <xf numFmtId="1" fontId="0" fillId="0" borderId="0" xfId="0" applyNumberFormat="1" applyBorder="1" applyAlignment="1">
      <alignment wrapText="1"/>
    </xf>
    <xf numFmtId="165" fontId="0" fillId="0" borderId="0" xfId="0" applyNumberFormat="1" applyBorder="1" applyAlignment="1">
      <alignment wrapText="1"/>
    </xf>
    <xf numFmtId="0" fontId="22" fillId="14" borderId="0" xfId="0" applyFont="1" applyFill="1" applyBorder="1" applyAlignment="1">
      <alignment wrapText="1"/>
    </xf>
    <xf numFmtId="0" fontId="23" fillId="0" borderId="0" xfId="0" applyFont="1" applyBorder="1"/>
    <xf numFmtId="0" fontId="24" fillId="0" borderId="0" xfId="0" applyFont="1" applyBorder="1" applyAlignment="1">
      <alignment vertical="center"/>
    </xf>
    <xf numFmtId="0" fontId="25" fillId="0" borderId="0" xfId="0" applyFont="1" applyBorder="1" applyAlignment="1">
      <alignment vertical="center"/>
    </xf>
    <xf numFmtId="0" fontId="26" fillId="0" borderId="0" xfId="0" applyFont="1" applyBorder="1" applyAlignment="1">
      <alignment vertical="center"/>
    </xf>
    <xf numFmtId="0" fontId="0" fillId="0" borderId="0" xfId="0"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left" vertical="center"/>
    </xf>
    <xf numFmtId="0" fontId="11" fillId="15" borderId="1" xfId="0" applyFont="1" applyFill="1" applyAlignment="1">
      <alignment horizontal="left"/>
    </xf>
    <xf numFmtId="0" fontId="11" fillId="20" borderId="0" xfId="0" applyFont="1" applyFill="1" applyBorder="1" applyAlignment="1">
      <alignment horizontal="left" vertical="center"/>
    </xf>
    <xf numFmtId="0" fontId="28" fillId="0" borderId="0" xfId="0" applyFont="1" applyBorder="1" applyAlignment="1">
      <alignment vertical="center" wrapText="1"/>
    </xf>
    <xf numFmtId="0" fontId="27" fillId="21" borderId="0" xfId="0" applyFont="1" applyFill="1" applyBorder="1" applyAlignment="1">
      <alignment vertical="center" wrapText="1"/>
    </xf>
    <xf numFmtId="165" fontId="18" fillId="22" borderId="0" xfId="0" applyNumberFormat="1" applyFont="1" applyFill="1" applyBorder="1" applyAlignment="1">
      <alignment vertical="center" wrapText="1"/>
    </xf>
    <xf numFmtId="0" fontId="2" fillId="0" borderId="1" xfId="0" applyFont="1" applyAlignment="1">
      <alignment horizontal="center"/>
    </xf>
    <xf numFmtId="0" fontId="0" fillId="0" borderId="0" xfId="0" applyBorder="1"/>
    <xf numFmtId="164" fontId="7" fillId="0" borderId="1" xfId="0" applyNumberFormat="1" applyFont="1" applyAlignment="1">
      <alignment horizontal="right"/>
    </xf>
    <xf numFmtId="0" fontId="2" fillId="0" borderId="0" xfId="0" applyFont="1" applyBorder="1"/>
    <xf numFmtId="164" fontId="0" fillId="0" borderId="0" xfId="0" applyNumberFormat="1" applyBorder="1"/>
    <xf numFmtId="164" fontId="16" fillId="0" borderId="1" xfId="0" applyNumberFormat="1" applyFont="1" applyAlignment="1">
      <alignment horizontal="center" vertical="center"/>
    </xf>
    <xf numFmtId="0" fontId="0" fillId="0" borderId="1" xfId="0"/>
    <xf numFmtId="164" fontId="16" fillId="0" borderId="1" xfId="0" applyNumberFormat="1" applyFont="1" applyAlignment="1">
      <alignment horizontal="center"/>
    </xf>
    <xf numFmtId="0" fontId="12" fillId="8" borderId="1" xfId="0" applyFont="1" applyFill="1" applyAlignment="1">
      <alignment horizontal="center"/>
    </xf>
    <xf numFmtId="0" fontId="22" fillId="14" borderId="1" xfId="0" applyFont="1" applyFill="1" applyAlignment="1">
      <alignment vertical="center" wrapText="1"/>
    </xf>
    <xf numFmtId="1" fontId="0" fillId="0" borderId="1" xfId="0" applyNumberFormat="1" applyAlignment="1">
      <alignment vertical="center"/>
    </xf>
    <xf numFmtId="0" fontId="2" fillId="19" borderId="1" xfId="0" applyFont="1" applyFill="1" applyAlignment="1">
      <alignment horizontal="center" vertical="center"/>
    </xf>
    <xf numFmtId="0" fontId="12" fillId="13" borderId="1" xfId="0" applyFont="1" applyFill="1" applyAlignment="1">
      <alignment horizontal="center" vertical="center"/>
    </xf>
    <xf numFmtId="0" fontId="0" fillId="0" borderId="1" xfId="0" applyAlignment="1">
      <alignment wrapText="1"/>
    </xf>
    <xf numFmtId="0" fontId="11" fillId="15" borderId="1" xfId="0" applyFont="1" applyFill="1" applyAlignment="1">
      <alignment horizontal="left"/>
    </xf>
    <xf numFmtId="2" fontId="0" fillId="0" borderId="1" xfId="0" applyNumberFormat="1" applyAlignment="1">
      <alignment vertical="center"/>
    </xf>
    <xf numFmtId="0" fontId="11" fillId="15" borderId="1" xfId="0" applyFont="1" applyFill="1"/>
    <xf numFmtId="0" fontId="17" fillId="14" borderId="1" xfId="0" applyFont="1" applyFill="1" applyAlignment="1">
      <alignment horizontal="center" wrapText="1"/>
    </xf>
    <xf numFmtId="165" fontId="0" fillId="0" borderId="1" xfId="0" applyNumberFormat="1" applyAlignment="1">
      <alignment vertical="center"/>
    </xf>
    <xf numFmtId="1" fontId="21" fillId="18" borderId="1" xfId="0" applyNumberFormat="1" applyFont="1" applyFill="1" applyAlignment="1">
      <alignment horizontal="center" vertical="center"/>
    </xf>
  </cellXfs>
  <cellStyles count="1">
    <cellStyle name="Normal" xfId="0" builtinId="0"/>
  </cellStyles>
  <dxfs count="5">
    <dxf>
      <font>
        <color rgb="FF006100"/>
      </font>
      <fill>
        <patternFill>
          <bgColor rgb="FFE2F0D9"/>
        </patternFill>
      </fill>
    </dxf>
    <dxf>
      <font>
        <color rgb="FF9C5700"/>
      </font>
      <fill>
        <patternFill>
          <bgColor rgb="FFFCE4D6"/>
        </patternFill>
      </fill>
    </dxf>
    <dxf>
      <font>
        <b/>
        <color rgb="FF9C0006"/>
      </font>
      <fill>
        <patternFill>
          <bgColor rgb="FFF4CCCC"/>
        </patternFill>
      </fill>
    </dxf>
    <dxf>
      <font>
        <b/>
        <color rgb="FF9C0006"/>
      </font>
      <fill>
        <patternFill>
          <bgColor rgb="FFF4CCCC"/>
        </patternFill>
      </fill>
    </dxf>
    <dxf>
      <font>
        <b/>
        <color rgb="FF9C0006"/>
      </font>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r>
              <a:t>Projected Liquid Capital — 40 Years</a:t>
            </a:r>
          </a:p>
        </c:rich>
      </c:tx>
      <c:overlay val="0"/>
    </c:title>
    <c:autoTitleDeleted val="0"/>
    <c:plotArea>
      <c:layout/>
      <c:lineChart>
        <c:grouping val="standard"/>
        <c:varyColors val="1"/>
        <c:ser>
          <c:idx val="0"/>
          <c:order val="0"/>
          <c:tx>
            <c:v>Series 1</c:v>
          </c:tx>
          <c:spPr>
            <a:ln>
              <a:prstDash val="solid"/>
            </a:ln>
          </c:spPr>
          <c:marker>
            <c:symbol val="none"/>
          </c:marker>
          <c:cat>
            <c:strLit>
              <c:ptCount val="1"/>
              <c:pt idx="0">
                <c:v>Item 1</c:v>
              </c:pt>
            </c:strLit>
          </c:cat>
          <c:val>
            <c:numLit>
              <c:formatCode>General</c:formatCode>
              <c:ptCount val="1"/>
              <c:pt idx="0">
                <c:v>0</c:v>
              </c:pt>
            </c:numLit>
          </c:val>
          <c:smooth val="0"/>
          <c:extLst>
            <c:ext xmlns:c16="http://schemas.microsoft.com/office/drawing/2014/chart" uri="{C3380CC4-5D6E-409C-BE32-E72D297353CC}">
              <c16:uniqueId val="{00000000-49BC-40C9-800D-199D8363246C}"/>
            </c:ext>
          </c:extLst>
        </c:ser>
        <c:ser>
          <c:idx val="1"/>
          <c:order val="1"/>
          <c:tx>
            <c:v>Ending Liquid Capital</c:v>
          </c:tx>
          <c:spPr>
            <a:ln>
              <a:prstDash val="solid"/>
            </a:ln>
          </c:spPr>
          <c:marker>
            <c:symbol val="none"/>
          </c:marker>
          <c:cat>
            <c:numRef>
              <c:f>'Retirement Goals &amp; 40-Year Plan'!$A$23:$A$62</c:f>
              <c:numCache>
                <c:formatCode>0</c:formatCode>
                <c:ptCount val="4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pt idx="36">
                  <c:v>2061</c:v>
                </c:pt>
                <c:pt idx="37">
                  <c:v>2062</c:v>
                </c:pt>
                <c:pt idx="38">
                  <c:v>2063</c:v>
                </c:pt>
                <c:pt idx="39">
                  <c:v>2064</c:v>
                </c:pt>
              </c:numCache>
            </c:numRef>
          </c:cat>
          <c:val>
            <c:numRef>
              <c:f>'Retirement Goals &amp; 40-Year Plan'!$J$23:$J$62</c:f>
              <c:numCache>
                <c:formatCode>\$#,##0;[Red]\(\$#,##0\);\-</c:formatCode>
                <c:ptCount val="40"/>
                <c:pt idx="0">
                  <c:v>129000</c:v>
                </c:pt>
                <c:pt idx="1">
                  <c:v>105070</c:v>
                </c:pt>
                <c:pt idx="2">
                  <c:v>77986.600000000006</c:v>
                </c:pt>
                <c:pt idx="3">
                  <c:v>47512.513000000021</c:v>
                </c:pt>
                <c:pt idx="4">
                  <c:v>13395.780940000026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numCache>
            </c:numRef>
          </c:val>
          <c:smooth val="0"/>
          <c:extLst>
            <c:ext xmlns:c16="http://schemas.microsoft.com/office/drawing/2014/chart" uri="{C3380CC4-5D6E-409C-BE32-E72D297353CC}">
              <c16:uniqueId val="{00000001-49BC-40C9-800D-199D8363246C}"/>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0</xdr:colOff>
      <xdr:row>3</xdr:row>
      <xdr:rowOff>0</xdr:rowOff>
    </xdr:from>
    <xdr:to>
      <xdr:col>23</xdr:col>
      <xdr:colOff>0</xdr:colOff>
      <xdr:row>20</xdr:row>
      <xdr:rowOff>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8"/>
  <sheetViews>
    <sheetView tabSelected="1" workbookViewId="0">
      <selection activeCell="A367" sqref="A367"/>
    </sheetView>
  </sheetViews>
  <sheetFormatPr defaultRowHeight="14.25" x14ac:dyDescent="0.45"/>
  <cols>
    <col min="1" max="1" width="100" customWidth="1"/>
  </cols>
  <sheetData>
    <row r="1" spans="1:1" ht="0.85" customHeight="1" x14ac:dyDescent="0.45">
      <c r="A1" s="73" t="s">
        <v>0</v>
      </c>
    </row>
    <row r="2" spans="1:1" ht="1.5" customHeight="1" x14ac:dyDescent="0.45">
      <c r="A2" s="73" t="s">
        <v>1</v>
      </c>
    </row>
    <row r="3" spans="1:1" ht="2.75" customHeight="1" x14ac:dyDescent="0.45">
      <c r="A3" s="52" t="s">
        <v>2</v>
      </c>
    </row>
    <row r="4" spans="1:1" ht="0.85" customHeight="1" x14ac:dyDescent="0.45">
      <c r="A4" s="72" t="s">
        <v>3</v>
      </c>
    </row>
    <row r="6" spans="1:1" x14ac:dyDescent="0.45">
      <c r="A6" t="s">
        <v>4</v>
      </c>
    </row>
    <row r="7" spans="1:1" x14ac:dyDescent="0.45">
      <c r="A7" t="s">
        <v>5</v>
      </c>
    </row>
    <row r="9" spans="1:1" x14ac:dyDescent="0.45">
      <c r="A9" s="73" t="s">
        <v>6</v>
      </c>
    </row>
    <row r="10" spans="1:1" x14ac:dyDescent="0.45">
      <c r="A10" t="s">
        <v>7</v>
      </c>
    </row>
    <row r="12" spans="1:1" x14ac:dyDescent="0.45">
      <c r="A12" s="73" t="s">
        <v>8</v>
      </c>
    </row>
    <row r="13" spans="1:1" x14ac:dyDescent="0.45">
      <c r="A13" t="s">
        <v>9</v>
      </c>
    </row>
    <row r="15" spans="1:1" ht="30.75" customHeight="1" x14ac:dyDescent="0.45">
      <c r="A15" s="74" t="s">
        <v>0</v>
      </c>
    </row>
    <row r="17" spans="1:1" ht="23.25" customHeight="1" x14ac:dyDescent="0.45">
      <c r="A17" s="75" t="s">
        <v>10</v>
      </c>
    </row>
    <row r="19" spans="1:1" ht="16.899999999999999" customHeight="1" x14ac:dyDescent="0.45">
      <c r="A19" s="76" t="s">
        <v>3</v>
      </c>
    </row>
    <row r="21" spans="1:1" x14ac:dyDescent="0.45">
      <c r="A21" s="7" t="s">
        <v>4</v>
      </c>
    </row>
    <row r="22" spans="1:1" x14ac:dyDescent="0.45">
      <c r="A22" s="7" t="s">
        <v>5</v>
      </c>
    </row>
    <row r="26" spans="1:1" ht="30.75" customHeight="1" x14ac:dyDescent="0.45">
      <c r="A26" s="74" t="s">
        <v>11</v>
      </c>
    </row>
    <row r="28" spans="1:1" x14ac:dyDescent="0.45">
      <c r="A28" t="s">
        <v>12</v>
      </c>
    </row>
    <row r="30" spans="1:1" x14ac:dyDescent="0.45">
      <c r="A30" t="s">
        <v>13</v>
      </c>
    </row>
    <row r="32" spans="1:1" x14ac:dyDescent="0.45">
      <c r="A32" t="s">
        <v>14</v>
      </c>
    </row>
    <row r="34" spans="1:1" x14ac:dyDescent="0.45">
      <c r="A34" s="7" t="s">
        <v>15</v>
      </c>
    </row>
    <row r="38" spans="1:1" ht="30.75" customHeight="1" x14ac:dyDescent="0.45">
      <c r="A38" s="74" t="s">
        <v>16</v>
      </c>
    </row>
    <row r="40" spans="1:1" x14ac:dyDescent="0.45">
      <c r="A40" t="s">
        <v>17</v>
      </c>
    </row>
    <row r="41" spans="1:1" x14ac:dyDescent="0.45">
      <c r="A41" s="77"/>
    </row>
    <row r="42" spans="1:1" x14ac:dyDescent="0.45">
      <c r="A42" s="77" t="s">
        <v>18</v>
      </c>
    </row>
    <row r="43" spans="1:1" x14ac:dyDescent="0.45">
      <c r="A43" s="77" t="s">
        <v>19</v>
      </c>
    </row>
    <row r="44" spans="1:1" x14ac:dyDescent="0.45">
      <c r="A44" s="77" t="s">
        <v>20</v>
      </c>
    </row>
    <row r="45" spans="1:1" x14ac:dyDescent="0.45">
      <c r="A45" s="77" t="s">
        <v>21</v>
      </c>
    </row>
    <row r="47" spans="1:1" x14ac:dyDescent="0.45">
      <c r="A47" t="s">
        <v>22</v>
      </c>
    </row>
    <row r="51" spans="1:1" ht="30.75" customHeight="1" x14ac:dyDescent="0.45">
      <c r="A51" s="74" t="s">
        <v>23</v>
      </c>
    </row>
    <row r="53" spans="1:1" ht="23.25" customHeight="1" x14ac:dyDescent="0.45">
      <c r="A53" s="75" t="s">
        <v>24</v>
      </c>
    </row>
    <row r="55" spans="1:1" x14ac:dyDescent="0.45">
      <c r="A55" t="s">
        <v>25</v>
      </c>
    </row>
    <row r="57" spans="1:1" x14ac:dyDescent="0.45">
      <c r="A57" t="s">
        <v>26</v>
      </c>
    </row>
    <row r="58" spans="1:1" x14ac:dyDescent="0.45">
      <c r="A58" s="77"/>
    </row>
    <row r="59" spans="1:1" x14ac:dyDescent="0.45">
      <c r="A59" s="77" t="s">
        <v>27</v>
      </c>
    </row>
    <row r="60" spans="1:1" x14ac:dyDescent="0.45">
      <c r="A60" s="77" t="s">
        <v>28</v>
      </c>
    </row>
    <row r="61" spans="1:1" x14ac:dyDescent="0.45">
      <c r="A61" s="77" t="s">
        <v>29</v>
      </c>
    </row>
    <row r="62" spans="1:1" x14ac:dyDescent="0.45">
      <c r="A62" s="77" t="s">
        <v>30</v>
      </c>
    </row>
    <row r="63" spans="1:1" x14ac:dyDescent="0.45">
      <c r="A63" s="77" t="s">
        <v>31</v>
      </c>
    </row>
    <row r="64" spans="1:1" x14ac:dyDescent="0.45">
      <c r="A64" s="77" t="s">
        <v>32</v>
      </c>
    </row>
    <row r="65" spans="1:1" x14ac:dyDescent="0.45">
      <c r="A65" s="77" t="s">
        <v>33</v>
      </c>
    </row>
    <row r="66" spans="1:1" x14ac:dyDescent="0.45">
      <c r="A66" s="77" t="s">
        <v>34</v>
      </c>
    </row>
    <row r="67" spans="1:1" x14ac:dyDescent="0.45">
      <c r="A67" s="77" t="s">
        <v>35</v>
      </c>
    </row>
    <row r="68" spans="1:1" x14ac:dyDescent="0.45">
      <c r="A68" s="77" t="s">
        <v>36</v>
      </c>
    </row>
    <row r="69" spans="1:1" x14ac:dyDescent="0.45">
      <c r="A69" s="77" t="s">
        <v>37</v>
      </c>
    </row>
    <row r="70" spans="1:1" x14ac:dyDescent="0.45">
      <c r="A70" s="77" t="s">
        <v>38</v>
      </c>
    </row>
    <row r="71" spans="1:1" x14ac:dyDescent="0.45">
      <c r="A71" s="77" t="s">
        <v>39</v>
      </c>
    </row>
    <row r="72" spans="1:1" x14ac:dyDescent="0.45">
      <c r="A72" s="77" t="s">
        <v>40</v>
      </c>
    </row>
    <row r="73" spans="1:1" x14ac:dyDescent="0.45">
      <c r="A73" s="77" t="s">
        <v>41</v>
      </c>
    </row>
    <row r="75" spans="1:1" x14ac:dyDescent="0.45">
      <c r="A75" t="s">
        <v>42</v>
      </c>
    </row>
    <row r="79" spans="1:1" ht="23.25" customHeight="1" x14ac:dyDescent="0.45">
      <c r="A79" s="75" t="s">
        <v>43</v>
      </c>
    </row>
    <row r="81" spans="1:1" x14ac:dyDescent="0.45">
      <c r="A81" t="s">
        <v>44</v>
      </c>
    </row>
    <row r="83" spans="1:1" x14ac:dyDescent="0.45">
      <c r="A83" t="s">
        <v>45</v>
      </c>
    </row>
    <row r="87" spans="1:1" ht="23.25" customHeight="1" x14ac:dyDescent="0.45">
      <c r="A87" s="75" t="s">
        <v>46</v>
      </c>
    </row>
    <row r="89" spans="1:1" x14ac:dyDescent="0.45">
      <c r="A89" t="s">
        <v>47</v>
      </c>
    </row>
    <row r="91" spans="1:1" x14ac:dyDescent="0.45">
      <c r="A91" t="s">
        <v>48</v>
      </c>
    </row>
    <row r="95" spans="1:1" ht="23.25" customHeight="1" x14ac:dyDescent="0.45">
      <c r="A95" s="75" t="s">
        <v>49</v>
      </c>
    </row>
    <row r="97" spans="1:1" x14ac:dyDescent="0.45">
      <c r="A97" t="s">
        <v>50</v>
      </c>
    </row>
    <row r="99" spans="1:1" x14ac:dyDescent="0.45">
      <c r="A99" t="s">
        <v>51</v>
      </c>
    </row>
    <row r="103" spans="1:1" ht="23.25" customHeight="1" x14ac:dyDescent="0.45">
      <c r="A103" s="75" t="s">
        <v>52</v>
      </c>
    </row>
    <row r="105" spans="1:1" x14ac:dyDescent="0.45">
      <c r="A105" t="s">
        <v>53</v>
      </c>
    </row>
    <row r="107" spans="1:1" x14ac:dyDescent="0.45">
      <c r="A107" t="s">
        <v>54</v>
      </c>
    </row>
    <row r="108" spans="1:1" x14ac:dyDescent="0.45">
      <c r="A108" s="77"/>
    </row>
    <row r="109" spans="1:1" x14ac:dyDescent="0.45">
      <c r="A109" s="77" t="s">
        <v>55</v>
      </c>
    </row>
    <row r="110" spans="1:1" x14ac:dyDescent="0.45">
      <c r="A110" s="77" t="s">
        <v>56</v>
      </c>
    </row>
    <row r="111" spans="1:1" x14ac:dyDescent="0.45">
      <c r="A111" s="77" t="s">
        <v>57</v>
      </c>
    </row>
    <row r="112" spans="1:1" x14ac:dyDescent="0.45">
      <c r="A112" s="77" t="s">
        <v>58</v>
      </c>
    </row>
    <row r="116" spans="1:1" ht="30.75" customHeight="1" x14ac:dyDescent="0.45">
      <c r="A116" s="74" t="s">
        <v>59</v>
      </c>
    </row>
    <row r="118" spans="1:1" ht="23.25" customHeight="1" x14ac:dyDescent="0.45">
      <c r="A118" s="75" t="s">
        <v>18</v>
      </c>
    </row>
    <row r="120" spans="1:1" x14ac:dyDescent="0.45">
      <c r="A120" t="s">
        <v>60</v>
      </c>
    </row>
    <row r="122" spans="1:1" x14ac:dyDescent="0.45">
      <c r="A122" t="s">
        <v>61</v>
      </c>
    </row>
    <row r="123" spans="1:1" x14ac:dyDescent="0.45">
      <c r="A123" s="77"/>
    </row>
    <row r="124" spans="1:1" x14ac:dyDescent="0.45">
      <c r="A124" s="77" t="s">
        <v>62</v>
      </c>
    </row>
    <row r="125" spans="1:1" x14ac:dyDescent="0.45">
      <c r="A125" s="77" t="s">
        <v>63</v>
      </c>
    </row>
    <row r="126" spans="1:1" x14ac:dyDescent="0.45">
      <c r="A126" s="77" t="s">
        <v>64</v>
      </c>
    </row>
    <row r="127" spans="1:1" x14ac:dyDescent="0.45">
      <c r="A127" s="77" t="s">
        <v>65</v>
      </c>
    </row>
    <row r="128" spans="1:1" x14ac:dyDescent="0.45">
      <c r="A128" s="77" t="s">
        <v>32</v>
      </c>
    </row>
    <row r="129" spans="1:1" x14ac:dyDescent="0.45">
      <c r="A129" s="77" t="s">
        <v>66</v>
      </c>
    </row>
    <row r="131" spans="1:1" x14ac:dyDescent="0.45">
      <c r="A131" t="s">
        <v>67</v>
      </c>
    </row>
    <row r="135" spans="1:1" ht="23.25" customHeight="1" x14ac:dyDescent="0.45">
      <c r="A135" s="75" t="s">
        <v>19</v>
      </c>
    </row>
    <row r="137" spans="1:1" x14ac:dyDescent="0.45">
      <c r="A137" t="s">
        <v>68</v>
      </c>
    </row>
    <row r="138" spans="1:1" x14ac:dyDescent="0.45">
      <c r="A138" s="77"/>
    </row>
    <row r="139" spans="1:1" x14ac:dyDescent="0.45">
      <c r="A139" s="77" t="s">
        <v>69</v>
      </c>
    </row>
    <row r="140" spans="1:1" x14ac:dyDescent="0.45">
      <c r="A140" s="77" t="s">
        <v>70</v>
      </c>
    </row>
    <row r="141" spans="1:1" x14ac:dyDescent="0.45">
      <c r="A141" s="77" t="s">
        <v>71</v>
      </c>
    </row>
    <row r="142" spans="1:1" x14ac:dyDescent="0.45">
      <c r="A142" s="77" t="s">
        <v>72</v>
      </c>
    </row>
    <row r="143" spans="1:1" x14ac:dyDescent="0.45">
      <c r="A143" s="77" t="s">
        <v>73</v>
      </c>
    </row>
    <row r="144" spans="1:1" x14ac:dyDescent="0.45">
      <c r="A144" s="77" t="s">
        <v>74</v>
      </c>
    </row>
    <row r="145" spans="1:1" x14ac:dyDescent="0.45">
      <c r="A145" s="77" t="s">
        <v>75</v>
      </c>
    </row>
    <row r="146" spans="1:1" x14ac:dyDescent="0.45">
      <c r="A146" s="77" t="s">
        <v>76</v>
      </c>
    </row>
    <row r="147" spans="1:1" x14ac:dyDescent="0.45">
      <c r="A147" s="77" t="s">
        <v>77</v>
      </c>
    </row>
    <row r="149" spans="1:1" x14ac:dyDescent="0.45">
      <c r="A149" t="s">
        <v>78</v>
      </c>
    </row>
    <row r="150" spans="1:1" x14ac:dyDescent="0.45">
      <c r="A150" s="77"/>
    </row>
    <row r="151" spans="1:1" x14ac:dyDescent="0.45">
      <c r="A151" s="77" t="s">
        <v>79</v>
      </c>
    </row>
    <row r="152" spans="1:1" x14ac:dyDescent="0.45">
      <c r="A152" s="77" t="s">
        <v>80</v>
      </c>
    </row>
    <row r="153" spans="1:1" x14ac:dyDescent="0.45">
      <c r="A153" s="77" t="s">
        <v>81</v>
      </c>
    </row>
    <row r="154" spans="1:1" x14ac:dyDescent="0.45">
      <c r="A154" s="77" t="s">
        <v>82</v>
      </c>
    </row>
    <row r="155" spans="1:1" x14ac:dyDescent="0.45">
      <c r="A155" s="77" t="s">
        <v>83</v>
      </c>
    </row>
    <row r="156" spans="1:1" x14ac:dyDescent="0.45">
      <c r="A156" s="77" t="s">
        <v>84</v>
      </c>
    </row>
    <row r="158" spans="1:1" x14ac:dyDescent="0.45">
      <c r="A158" t="s">
        <v>85</v>
      </c>
    </row>
    <row r="162" spans="1:1" ht="23.25" customHeight="1" x14ac:dyDescent="0.45">
      <c r="A162" s="75" t="s">
        <v>20</v>
      </c>
    </row>
    <row r="164" spans="1:1" x14ac:dyDescent="0.45">
      <c r="A164" t="s">
        <v>86</v>
      </c>
    </row>
    <row r="166" spans="1:1" x14ac:dyDescent="0.45">
      <c r="A166" t="s">
        <v>87</v>
      </c>
    </row>
    <row r="167" spans="1:1" x14ac:dyDescent="0.45">
      <c r="A167" s="77"/>
    </row>
    <row r="168" spans="1:1" x14ac:dyDescent="0.45">
      <c r="A168" s="77" t="s">
        <v>88</v>
      </c>
    </row>
    <row r="169" spans="1:1" x14ac:dyDescent="0.45">
      <c r="A169" s="77" t="s">
        <v>89</v>
      </c>
    </row>
    <row r="170" spans="1:1" x14ac:dyDescent="0.45">
      <c r="A170" s="77" t="s">
        <v>90</v>
      </c>
    </row>
    <row r="171" spans="1:1" x14ac:dyDescent="0.45">
      <c r="A171" s="77" t="s">
        <v>91</v>
      </c>
    </row>
    <row r="172" spans="1:1" x14ac:dyDescent="0.45">
      <c r="A172" s="77" t="s">
        <v>92</v>
      </c>
    </row>
    <row r="173" spans="1:1" x14ac:dyDescent="0.45">
      <c r="A173" s="77" t="s">
        <v>93</v>
      </c>
    </row>
    <row r="174" spans="1:1" x14ac:dyDescent="0.45">
      <c r="A174" s="77" t="s">
        <v>39</v>
      </c>
    </row>
    <row r="175" spans="1:1" x14ac:dyDescent="0.45">
      <c r="A175" s="77" t="s">
        <v>40</v>
      </c>
    </row>
    <row r="177" spans="1:1" x14ac:dyDescent="0.45">
      <c r="A177" t="s">
        <v>94</v>
      </c>
    </row>
    <row r="179" spans="1:1" x14ac:dyDescent="0.45">
      <c r="A179" t="s">
        <v>95</v>
      </c>
    </row>
    <row r="181" spans="1:1" x14ac:dyDescent="0.45">
      <c r="A181" t="s">
        <v>96</v>
      </c>
    </row>
    <row r="185" spans="1:1" ht="23.25" customHeight="1" x14ac:dyDescent="0.45">
      <c r="A185" s="75" t="s">
        <v>21</v>
      </c>
    </row>
    <row r="187" spans="1:1" x14ac:dyDescent="0.45">
      <c r="A187" t="s">
        <v>97</v>
      </c>
    </row>
    <row r="189" spans="1:1" x14ac:dyDescent="0.45">
      <c r="A189" t="s">
        <v>98</v>
      </c>
    </row>
    <row r="190" spans="1:1" x14ac:dyDescent="0.45">
      <c r="A190" s="77"/>
    </row>
    <row r="191" spans="1:1" x14ac:dyDescent="0.45">
      <c r="A191" s="77" t="s">
        <v>99</v>
      </c>
    </row>
    <row r="192" spans="1:1" x14ac:dyDescent="0.45">
      <c r="A192" s="77" t="s">
        <v>100</v>
      </c>
    </row>
    <row r="193" spans="1:1" x14ac:dyDescent="0.45">
      <c r="A193" s="77" t="s">
        <v>101</v>
      </c>
    </row>
    <row r="194" spans="1:1" x14ac:dyDescent="0.45">
      <c r="A194" s="77" t="s">
        <v>79</v>
      </c>
    </row>
    <row r="195" spans="1:1" x14ac:dyDescent="0.45">
      <c r="A195" s="77" t="s">
        <v>81</v>
      </c>
    </row>
    <row r="196" spans="1:1" x14ac:dyDescent="0.45">
      <c r="A196" s="77" t="s">
        <v>102</v>
      </c>
    </row>
    <row r="197" spans="1:1" x14ac:dyDescent="0.45">
      <c r="A197" s="77" t="s">
        <v>84</v>
      </c>
    </row>
    <row r="198" spans="1:1" x14ac:dyDescent="0.45">
      <c r="A198" s="77" t="s">
        <v>103</v>
      </c>
    </row>
    <row r="199" spans="1:1" x14ac:dyDescent="0.45">
      <c r="A199" s="77" t="s">
        <v>104</v>
      </c>
    </row>
    <row r="200" spans="1:1" x14ac:dyDescent="0.45">
      <c r="A200" s="77" t="s">
        <v>105</v>
      </c>
    </row>
    <row r="201" spans="1:1" x14ac:dyDescent="0.45">
      <c r="A201" s="77" t="s">
        <v>106</v>
      </c>
    </row>
    <row r="205" spans="1:1" ht="30.75" customHeight="1" x14ac:dyDescent="0.45">
      <c r="A205" s="74" t="s">
        <v>107</v>
      </c>
    </row>
    <row r="207" spans="1:1" ht="23.25" customHeight="1" x14ac:dyDescent="0.45">
      <c r="A207" s="75" t="s">
        <v>100</v>
      </c>
    </row>
    <row r="209" spans="1:1" x14ac:dyDescent="0.45">
      <c r="A209" t="s">
        <v>108</v>
      </c>
    </row>
    <row r="211" spans="1:1" x14ac:dyDescent="0.45">
      <c r="A211" t="s">
        <v>109</v>
      </c>
    </row>
    <row r="213" spans="1:1" x14ac:dyDescent="0.45">
      <c r="A213" t="s">
        <v>110</v>
      </c>
    </row>
    <row r="217" spans="1:1" ht="23.25" customHeight="1" x14ac:dyDescent="0.45">
      <c r="A217" s="75" t="s">
        <v>101</v>
      </c>
    </row>
    <row r="219" spans="1:1" x14ac:dyDescent="0.45">
      <c r="A219" t="s">
        <v>111</v>
      </c>
    </row>
    <row r="221" spans="1:1" x14ac:dyDescent="0.45">
      <c r="A221" t="s">
        <v>112</v>
      </c>
    </row>
    <row r="225" spans="1:1" ht="23.25" customHeight="1" x14ac:dyDescent="0.45">
      <c r="A225" s="75" t="s">
        <v>103</v>
      </c>
    </row>
    <row r="227" spans="1:1" x14ac:dyDescent="0.45">
      <c r="A227" t="s">
        <v>113</v>
      </c>
    </row>
    <row r="229" spans="1:1" ht="16.899999999999999" customHeight="1" x14ac:dyDescent="0.45">
      <c r="A229" s="76" t="s">
        <v>114</v>
      </c>
    </row>
    <row r="231" spans="1:1" x14ac:dyDescent="0.45">
      <c r="A231" t="s">
        <v>115</v>
      </c>
    </row>
    <row r="233" spans="1:1" ht="16.899999999999999" customHeight="1" x14ac:dyDescent="0.45">
      <c r="A233" s="76" t="s">
        <v>116</v>
      </c>
    </row>
    <row r="235" spans="1:1" x14ac:dyDescent="0.45">
      <c r="A235" t="s">
        <v>117</v>
      </c>
    </row>
    <row r="237" spans="1:1" ht="16.899999999999999" customHeight="1" x14ac:dyDescent="0.45">
      <c r="A237" s="76" t="s">
        <v>118</v>
      </c>
    </row>
    <row r="239" spans="1:1" x14ac:dyDescent="0.45">
      <c r="A239" t="s">
        <v>119</v>
      </c>
    </row>
    <row r="241" spans="1:1" x14ac:dyDescent="0.45">
      <c r="A241" t="s">
        <v>120</v>
      </c>
    </row>
    <row r="243" spans="1:1" ht="16.899999999999999" customHeight="1" x14ac:dyDescent="0.45">
      <c r="A243" s="76" t="s">
        <v>121</v>
      </c>
    </row>
    <row r="245" spans="1:1" x14ac:dyDescent="0.45">
      <c r="A245" t="s">
        <v>122</v>
      </c>
    </row>
    <row r="247" spans="1:1" x14ac:dyDescent="0.45">
      <c r="A247" t="s">
        <v>123</v>
      </c>
    </row>
    <row r="249" spans="1:1" ht="16.899999999999999" customHeight="1" x14ac:dyDescent="0.45">
      <c r="A249" s="76" t="s">
        <v>124</v>
      </c>
    </row>
    <row r="251" spans="1:1" x14ac:dyDescent="0.45">
      <c r="A251" t="s">
        <v>125</v>
      </c>
    </row>
    <row r="253" spans="1:1" x14ac:dyDescent="0.45">
      <c r="A253" t="s">
        <v>126</v>
      </c>
    </row>
    <row r="255" spans="1:1" ht="16.899999999999999" customHeight="1" x14ac:dyDescent="0.45">
      <c r="A255" s="76" t="s">
        <v>127</v>
      </c>
    </row>
    <row r="257" spans="1:1" x14ac:dyDescent="0.45">
      <c r="A257" t="s">
        <v>128</v>
      </c>
    </row>
    <row r="259" spans="1:1" x14ac:dyDescent="0.45">
      <c r="A259" t="s">
        <v>129</v>
      </c>
    </row>
    <row r="263" spans="1:1" ht="23.25" customHeight="1" x14ac:dyDescent="0.45">
      <c r="A263" s="75" t="s">
        <v>130</v>
      </c>
    </row>
    <row r="265" spans="1:1" x14ac:dyDescent="0.45">
      <c r="A265" t="s">
        <v>131</v>
      </c>
    </row>
    <row r="267" spans="1:1" x14ac:dyDescent="0.45">
      <c r="A267" t="s">
        <v>132</v>
      </c>
    </row>
    <row r="271" spans="1:1" ht="23.25" customHeight="1" x14ac:dyDescent="0.45">
      <c r="A271" s="75" t="s">
        <v>133</v>
      </c>
    </row>
    <row r="273" spans="1:1" x14ac:dyDescent="0.45">
      <c r="A273" t="s">
        <v>134</v>
      </c>
    </row>
    <row r="275" spans="1:1" x14ac:dyDescent="0.45">
      <c r="A275" t="s">
        <v>135</v>
      </c>
    </row>
    <row r="279" spans="1:1" ht="23.25" customHeight="1" x14ac:dyDescent="0.45">
      <c r="A279" s="75" t="s">
        <v>104</v>
      </c>
    </row>
    <row r="281" spans="1:1" x14ac:dyDescent="0.45">
      <c r="A281" t="s">
        <v>136</v>
      </c>
    </row>
    <row r="283" spans="1:1" x14ac:dyDescent="0.45">
      <c r="A283" t="s">
        <v>137</v>
      </c>
    </row>
    <row r="287" spans="1:1" ht="30.75" customHeight="1" x14ac:dyDescent="0.45">
      <c r="A287" s="74" t="s">
        <v>138</v>
      </c>
    </row>
    <row r="289" spans="1:3" x14ac:dyDescent="0.45">
      <c r="A289" t="s">
        <v>139</v>
      </c>
    </row>
    <row r="291" spans="1:3" x14ac:dyDescent="0.45">
      <c r="A291" t="s">
        <v>140</v>
      </c>
    </row>
    <row r="293" spans="1:3" x14ac:dyDescent="0.45">
      <c r="A293" t="s">
        <v>141</v>
      </c>
    </row>
    <row r="295" spans="1:3" ht="16.899999999999999" customHeight="1" x14ac:dyDescent="0.45">
      <c r="A295" s="76" t="s">
        <v>142</v>
      </c>
    </row>
    <row r="297" spans="1:3" ht="71.25" customHeight="1" x14ac:dyDescent="0.45">
      <c r="A297" s="78" t="s">
        <v>143</v>
      </c>
      <c r="B297" s="78" t="s">
        <v>144</v>
      </c>
      <c r="C297" s="78" t="s">
        <v>145</v>
      </c>
    </row>
    <row r="298" spans="1:3" ht="28.5" customHeight="1" x14ac:dyDescent="0.45">
      <c r="A298" s="79">
        <v>10</v>
      </c>
      <c r="B298" s="57" t="s">
        <v>146</v>
      </c>
      <c r="C298" s="57" t="s">
        <v>147</v>
      </c>
    </row>
    <row r="299" spans="1:3" ht="57" customHeight="1" x14ac:dyDescent="0.45">
      <c r="A299" s="79">
        <v>9</v>
      </c>
      <c r="B299" s="57" t="s">
        <v>148</v>
      </c>
      <c r="C299" s="57" t="s">
        <v>149</v>
      </c>
    </row>
    <row r="300" spans="1:3" ht="57" customHeight="1" x14ac:dyDescent="0.45">
      <c r="A300" s="79">
        <v>8</v>
      </c>
      <c r="B300" s="57" t="s">
        <v>150</v>
      </c>
      <c r="C300" s="57" t="s">
        <v>151</v>
      </c>
    </row>
    <row r="301" spans="1:3" ht="28.5" customHeight="1" x14ac:dyDescent="0.45">
      <c r="A301" s="79">
        <v>7</v>
      </c>
      <c r="B301" s="57" t="s">
        <v>152</v>
      </c>
      <c r="C301" s="57" t="s">
        <v>120</v>
      </c>
    </row>
    <row r="302" spans="1:3" ht="57" customHeight="1" x14ac:dyDescent="0.45">
      <c r="A302" s="79">
        <v>6</v>
      </c>
      <c r="B302" s="57" t="s">
        <v>153</v>
      </c>
      <c r="C302" s="57" t="s">
        <v>154</v>
      </c>
    </row>
    <row r="303" spans="1:3" ht="71.25" customHeight="1" x14ac:dyDescent="0.45">
      <c r="A303" s="79">
        <v>5</v>
      </c>
      <c r="B303" s="57" t="s">
        <v>155</v>
      </c>
      <c r="C303" s="57" t="s">
        <v>156</v>
      </c>
    </row>
    <row r="304" spans="1:3" ht="57" customHeight="1" x14ac:dyDescent="0.45">
      <c r="A304" s="79">
        <v>4</v>
      </c>
      <c r="B304" s="57" t="s">
        <v>157</v>
      </c>
      <c r="C304" s="57" t="s">
        <v>158</v>
      </c>
    </row>
    <row r="305" spans="1:3" ht="71.25" customHeight="1" x14ac:dyDescent="0.45">
      <c r="A305" s="79">
        <v>3</v>
      </c>
      <c r="B305" s="57" t="s">
        <v>159</v>
      </c>
      <c r="C305" s="57" t="s">
        <v>160</v>
      </c>
    </row>
    <row r="306" spans="1:3" ht="57" customHeight="1" x14ac:dyDescent="0.45">
      <c r="A306" s="79">
        <v>2</v>
      </c>
      <c r="B306" s="57" t="s">
        <v>161</v>
      </c>
      <c r="C306" s="57" t="s">
        <v>162</v>
      </c>
    </row>
    <row r="307" spans="1:3" ht="85.5" customHeight="1" x14ac:dyDescent="0.45">
      <c r="A307" s="79">
        <v>1</v>
      </c>
      <c r="B307" s="57" t="s">
        <v>163</v>
      </c>
      <c r="C307" s="57" t="s">
        <v>164</v>
      </c>
    </row>
    <row r="310" spans="1:3" ht="30.75" customHeight="1" x14ac:dyDescent="0.45">
      <c r="A310" s="74" t="s">
        <v>165</v>
      </c>
    </row>
    <row r="312" spans="1:3" x14ac:dyDescent="0.45">
      <c r="A312" t="s">
        <v>166</v>
      </c>
    </row>
    <row r="314" spans="1:3" x14ac:dyDescent="0.45">
      <c r="A314" t="s">
        <v>167</v>
      </c>
    </row>
    <row r="315" spans="1:3" x14ac:dyDescent="0.45">
      <c r="A315" s="77"/>
    </row>
    <row r="316" spans="1:3" x14ac:dyDescent="0.45">
      <c r="A316" s="77" t="s">
        <v>168</v>
      </c>
    </row>
    <row r="317" spans="1:3" x14ac:dyDescent="0.45">
      <c r="A317" s="77" t="s">
        <v>169</v>
      </c>
    </row>
    <row r="318" spans="1:3" x14ac:dyDescent="0.45">
      <c r="A318" s="77" t="s">
        <v>170</v>
      </c>
    </row>
    <row r="319" spans="1:3" x14ac:dyDescent="0.45">
      <c r="A319" s="77" t="s">
        <v>171</v>
      </c>
    </row>
    <row r="320" spans="1:3" x14ac:dyDescent="0.45">
      <c r="A320" s="77" t="s">
        <v>172</v>
      </c>
    </row>
    <row r="321" spans="1:1" x14ac:dyDescent="0.45">
      <c r="A321" s="77" t="s">
        <v>173</v>
      </c>
    </row>
    <row r="323" spans="1:1" x14ac:dyDescent="0.45">
      <c r="A323" t="s">
        <v>174</v>
      </c>
    </row>
    <row r="327" spans="1:1" ht="30.75" customHeight="1" x14ac:dyDescent="0.45">
      <c r="A327" s="74" t="s">
        <v>175</v>
      </c>
    </row>
    <row r="329" spans="1:1" x14ac:dyDescent="0.45">
      <c r="A329" t="s">
        <v>176</v>
      </c>
    </row>
    <row r="331" spans="1:1" x14ac:dyDescent="0.45">
      <c r="A331" t="s">
        <v>177</v>
      </c>
    </row>
    <row r="332" spans="1:1" x14ac:dyDescent="0.45">
      <c r="A332" s="77"/>
    </row>
    <row r="333" spans="1:1" x14ac:dyDescent="0.45">
      <c r="A333" s="77" t="s">
        <v>178</v>
      </c>
    </row>
    <row r="334" spans="1:1" x14ac:dyDescent="0.45">
      <c r="A334" s="77" t="s">
        <v>179</v>
      </c>
    </row>
    <row r="335" spans="1:1" x14ac:dyDescent="0.45">
      <c r="A335" s="77" t="s">
        <v>180</v>
      </c>
    </row>
    <row r="336" spans="1:1" x14ac:dyDescent="0.45">
      <c r="A336" s="77" t="s">
        <v>181</v>
      </c>
    </row>
    <row r="337" spans="1:1" x14ac:dyDescent="0.45">
      <c r="A337" s="77" t="s">
        <v>182</v>
      </c>
    </row>
    <row r="339" spans="1:1" x14ac:dyDescent="0.45">
      <c r="A339" t="s">
        <v>183</v>
      </c>
    </row>
    <row r="343" spans="1:1" ht="30.75" customHeight="1" x14ac:dyDescent="0.45">
      <c r="A343" s="74" t="s">
        <v>184</v>
      </c>
    </row>
    <row r="345" spans="1:1" x14ac:dyDescent="0.45">
      <c r="A345" t="s">
        <v>185</v>
      </c>
    </row>
    <row r="347" spans="1:1" x14ac:dyDescent="0.45">
      <c r="A347" t="s">
        <v>186</v>
      </c>
    </row>
    <row r="349" spans="1:1" x14ac:dyDescent="0.45">
      <c r="A349" t="s">
        <v>187</v>
      </c>
    </row>
    <row r="351" spans="1:1" x14ac:dyDescent="0.45">
      <c r="A351" t="s">
        <v>188</v>
      </c>
    </row>
    <row r="355" spans="1:1" ht="30.75" customHeight="1" x14ac:dyDescent="0.45">
      <c r="A355" s="74" t="s">
        <v>8</v>
      </c>
    </row>
    <row r="357" spans="1:1" x14ac:dyDescent="0.45">
      <c r="A357" t="s">
        <v>189</v>
      </c>
    </row>
    <row r="359" spans="1:1" x14ac:dyDescent="0.45">
      <c r="A359" t="s">
        <v>190</v>
      </c>
    </row>
    <row r="361" spans="1:1" x14ac:dyDescent="0.45">
      <c r="A361" t="s">
        <v>191</v>
      </c>
    </row>
    <row r="365" spans="1:1" ht="30.75" customHeight="1" x14ac:dyDescent="0.45">
      <c r="A365" s="74" t="s">
        <v>192</v>
      </c>
    </row>
    <row r="367" spans="1:1" x14ac:dyDescent="0.45">
      <c r="A367" s="7" t="s">
        <v>193</v>
      </c>
    </row>
    <row r="368" spans="1:1" x14ac:dyDescent="0.45">
      <c r="A368" s="7" t="s">
        <v>194</v>
      </c>
    </row>
    <row r="370" spans="1:1" x14ac:dyDescent="0.45">
      <c r="A370" t="s">
        <v>195</v>
      </c>
    </row>
    <row r="373" spans="1:1" x14ac:dyDescent="0.45">
      <c r="A373" s="77"/>
    </row>
    <row r="374" spans="1:1" x14ac:dyDescent="0.45">
      <c r="A374" s="80" t="s">
        <v>196</v>
      </c>
    </row>
    <row r="375" spans="1:1" x14ac:dyDescent="0.45">
      <c r="A375" s="77"/>
    </row>
    <row r="376" spans="1:1" x14ac:dyDescent="0.45">
      <c r="A376" s="80" t="s">
        <v>197</v>
      </c>
    </row>
    <row r="377" spans="1:1" x14ac:dyDescent="0.45">
      <c r="A377" s="77"/>
    </row>
    <row r="378" spans="1:1" x14ac:dyDescent="0.45">
      <c r="A378" s="80"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2"/>
  <sheetViews>
    <sheetView topLeftCell="A2" workbookViewId="0"/>
  </sheetViews>
  <sheetFormatPr defaultRowHeight="14.25" x14ac:dyDescent="0.45"/>
  <cols>
    <col min="1" max="1" width="28" customWidth="1"/>
    <col min="2" max="2" width="14.59765625" style="4" customWidth="1"/>
    <col min="3" max="3" width="14.59765625" customWidth="1"/>
  </cols>
  <sheetData>
    <row r="1" spans="1:11" s="53" customFormat="1" ht="0.2" customHeight="1" x14ac:dyDescent="0.45">
      <c r="B1" s="91" t="s">
        <v>199</v>
      </c>
      <c r="C1" s="92"/>
    </row>
    <row r="2" spans="1:11" x14ac:dyDescent="0.45">
      <c r="A2" s="1" t="s">
        <v>200</v>
      </c>
      <c r="B2" s="86">
        <v>2025</v>
      </c>
      <c r="C2" s="87"/>
      <c r="D2" s="86">
        <v>2026</v>
      </c>
      <c r="E2" s="87"/>
      <c r="F2" s="86">
        <v>2027</v>
      </c>
      <c r="G2" s="87"/>
      <c r="H2" s="86">
        <v>2028</v>
      </c>
      <c r="I2" s="87"/>
      <c r="J2" s="86">
        <v>2029</v>
      </c>
      <c r="K2" s="87"/>
    </row>
    <row r="3" spans="1:11" x14ac:dyDescent="0.45">
      <c r="A3" s="3" t="s">
        <v>201</v>
      </c>
      <c r="B3" s="86">
        <v>81</v>
      </c>
      <c r="C3" s="87"/>
      <c r="D3" s="86">
        <v>82</v>
      </c>
      <c r="E3" s="87"/>
      <c r="F3" s="86">
        <v>83</v>
      </c>
      <c r="G3" s="87"/>
      <c r="H3" s="86">
        <v>84</v>
      </c>
      <c r="I3" s="87"/>
      <c r="J3" s="86">
        <v>85</v>
      </c>
      <c r="K3" s="87"/>
    </row>
    <row r="4" spans="1:11" ht="0.2" customHeight="1" x14ac:dyDescent="0.55000000000000004">
      <c r="B4" s="93" t="s">
        <v>202</v>
      </c>
      <c r="C4" s="87"/>
    </row>
    <row r="5" spans="1:11" x14ac:dyDescent="0.45">
      <c r="A5" s="1" t="s">
        <v>203</v>
      </c>
      <c r="B5" s="5" t="s">
        <v>204</v>
      </c>
      <c r="C5" s="3" t="s">
        <v>205</v>
      </c>
    </row>
    <row r="6" spans="1:11" x14ac:dyDescent="0.45">
      <c r="A6" s="1" t="s">
        <v>206</v>
      </c>
      <c r="C6" s="4"/>
    </row>
    <row r="7" spans="1:11" x14ac:dyDescent="0.45">
      <c r="A7" s="2" t="s">
        <v>207</v>
      </c>
      <c r="C7" s="4"/>
    </row>
    <row r="8" spans="1:11" x14ac:dyDescent="0.45">
      <c r="A8" s="1" t="s">
        <v>208</v>
      </c>
      <c r="B8" s="45">
        <v>30000</v>
      </c>
      <c r="C8" s="45">
        <v>30000</v>
      </c>
    </row>
    <row r="9" spans="1:11" x14ac:dyDescent="0.45">
      <c r="A9" s="1" t="s">
        <v>208</v>
      </c>
      <c r="B9" s="46">
        <v>20000</v>
      </c>
      <c r="C9" s="46">
        <v>20000</v>
      </c>
    </row>
    <row r="10" spans="1:11" x14ac:dyDescent="0.45">
      <c r="A10" s="1" t="s">
        <v>209</v>
      </c>
      <c r="B10" s="11">
        <f>SUM(B8:B9)</f>
        <v>50000</v>
      </c>
      <c r="C10" s="11">
        <f>SUM(C8:C9)</f>
        <v>50000</v>
      </c>
    </row>
    <row r="11" spans="1:11" x14ac:dyDescent="0.45">
      <c r="A11" s="2" t="s">
        <v>210</v>
      </c>
      <c r="C11" s="4"/>
    </row>
    <row r="12" spans="1:11" x14ac:dyDescent="0.45">
      <c r="A12" s="1" t="s">
        <v>208</v>
      </c>
      <c r="B12" s="45">
        <v>15000</v>
      </c>
      <c r="C12" s="45">
        <v>15000</v>
      </c>
    </row>
    <row r="13" spans="1:11" x14ac:dyDescent="0.45">
      <c r="A13" s="1" t="s">
        <v>208</v>
      </c>
      <c r="B13" s="45">
        <v>15000</v>
      </c>
      <c r="C13" s="45">
        <v>15000</v>
      </c>
    </row>
    <row r="14" spans="1:11" x14ac:dyDescent="0.45">
      <c r="A14" s="1" t="s">
        <v>208</v>
      </c>
      <c r="B14" s="45">
        <v>15000</v>
      </c>
      <c r="C14" s="45">
        <v>15000</v>
      </c>
    </row>
    <row r="15" spans="1:11" x14ac:dyDescent="0.45">
      <c r="A15" s="1" t="s">
        <v>211</v>
      </c>
      <c r="B15" s="11">
        <f>SUM(B12:B14)</f>
        <v>45000</v>
      </c>
      <c r="C15" s="11">
        <f>SUM(C12:C14)</f>
        <v>45000</v>
      </c>
    </row>
    <row r="16" spans="1:11" x14ac:dyDescent="0.45">
      <c r="A16" s="2" t="s">
        <v>212</v>
      </c>
      <c r="C16" s="4"/>
    </row>
    <row r="17" spans="1:3" x14ac:dyDescent="0.45">
      <c r="A17" s="6" t="s">
        <v>213</v>
      </c>
      <c r="B17" s="45">
        <v>1500</v>
      </c>
      <c r="C17" s="45">
        <v>1500</v>
      </c>
    </row>
    <row r="18" spans="1:3" x14ac:dyDescent="0.45">
      <c r="A18" s="6" t="s">
        <v>213</v>
      </c>
      <c r="B18" s="45">
        <v>1500</v>
      </c>
      <c r="C18" s="45">
        <v>1500</v>
      </c>
    </row>
    <row r="19" spans="1:3" x14ac:dyDescent="0.45">
      <c r="A19" s="6" t="s">
        <v>214</v>
      </c>
      <c r="B19" s="45">
        <v>1500</v>
      </c>
      <c r="C19" s="45">
        <v>1500</v>
      </c>
    </row>
    <row r="20" spans="1:3" x14ac:dyDescent="0.45">
      <c r="A20" s="6" t="s">
        <v>214</v>
      </c>
      <c r="B20" s="45">
        <v>1500</v>
      </c>
      <c r="C20" s="45">
        <v>1500</v>
      </c>
    </row>
    <row r="21" spans="1:3" x14ac:dyDescent="0.45">
      <c r="A21" s="6" t="s">
        <v>215</v>
      </c>
      <c r="B21" s="45">
        <v>1500</v>
      </c>
      <c r="C21" s="45">
        <v>1500</v>
      </c>
    </row>
    <row r="22" spans="1:3" x14ac:dyDescent="0.45">
      <c r="A22" s="7" t="s">
        <v>216</v>
      </c>
      <c r="B22" s="47">
        <f>SUM(B17:B21)</f>
        <v>7500</v>
      </c>
      <c r="C22" s="47">
        <f>SUM(C17:C21)</f>
        <v>7500</v>
      </c>
    </row>
    <row r="23" spans="1:3" x14ac:dyDescent="0.45">
      <c r="A23" s="7" t="s">
        <v>217</v>
      </c>
      <c r="B23" s="11">
        <f>SUM(B10,B15,B22)</f>
        <v>102500</v>
      </c>
      <c r="C23" s="11">
        <f>SUM(C10,C15,C22)</f>
        <v>102500</v>
      </c>
    </row>
    <row r="24" spans="1:3" x14ac:dyDescent="0.45">
      <c r="C24" s="4"/>
    </row>
    <row r="25" spans="1:3" s="7" customFormat="1" x14ac:dyDescent="0.45">
      <c r="A25" s="7" t="s">
        <v>218</v>
      </c>
      <c r="B25" s="8"/>
      <c r="C25" s="8"/>
    </row>
    <row r="26" spans="1:3" s="7" customFormat="1" x14ac:dyDescent="0.45">
      <c r="A26" s="6" t="s">
        <v>219</v>
      </c>
      <c r="B26" s="45">
        <v>7500</v>
      </c>
      <c r="C26" s="45">
        <v>7500</v>
      </c>
    </row>
    <row r="27" spans="1:3" s="7" customFormat="1" x14ac:dyDescent="0.45">
      <c r="A27" s="6" t="s">
        <v>219</v>
      </c>
      <c r="B27" s="48">
        <v>3500</v>
      </c>
      <c r="C27" s="48">
        <v>3500</v>
      </c>
    </row>
    <row r="28" spans="1:3" s="7" customFormat="1" ht="0.2" customHeight="1" x14ac:dyDescent="0.45">
      <c r="A28" s="9" t="s">
        <v>220</v>
      </c>
      <c r="B28" s="12">
        <f>SUM(B26:B27)</f>
        <v>11000</v>
      </c>
      <c r="C28" s="12">
        <f>SUM(C26:C27)</f>
        <v>11000</v>
      </c>
    </row>
    <row r="29" spans="1:3" s="7" customFormat="1" x14ac:dyDescent="0.45">
      <c r="A29" s="9" t="s">
        <v>221</v>
      </c>
      <c r="B29" s="88"/>
      <c r="C29" s="89"/>
    </row>
    <row r="30" spans="1:3" s="7" customFormat="1" ht="0.2" customHeight="1" x14ac:dyDescent="0.45">
      <c r="A30" s="6" t="s">
        <v>222</v>
      </c>
      <c r="B30" s="89"/>
      <c r="C30" s="89"/>
    </row>
    <row r="31" spans="1:3" s="7" customFormat="1" ht="0.1" customHeight="1" x14ac:dyDescent="0.45">
      <c r="A31" s="6"/>
      <c r="B31" s="89"/>
      <c r="C31" s="89"/>
    </row>
    <row r="32" spans="1:3" x14ac:dyDescent="0.45">
      <c r="B32" s="90"/>
      <c r="C32" s="87"/>
    </row>
    <row r="33" spans="1:3" ht="0.1" customHeight="1" x14ac:dyDescent="0.45">
      <c r="A33" s="9"/>
    </row>
    <row r="36" spans="1:3" ht="0.1" customHeight="1" x14ac:dyDescent="0.45"/>
    <row r="37" spans="1:3" x14ac:dyDescent="0.45">
      <c r="A37" s="1" t="s">
        <v>223</v>
      </c>
      <c r="B37" s="7"/>
      <c r="C37" s="7"/>
    </row>
    <row r="38" spans="1:3" x14ac:dyDescent="0.45">
      <c r="A38" t="s">
        <v>224</v>
      </c>
      <c r="B38" s="46">
        <v>9000</v>
      </c>
      <c r="C38" s="46">
        <v>9000</v>
      </c>
    </row>
    <row r="39" spans="1:3" x14ac:dyDescent="0.45">
      <c r="A39" t="s">
        <v>225</v>
      </c>
      <c r="B39" s="46">
        <v>3000</v>
      </c>
      <c r="C39" s="46">
        <v>3000</v>
      </c>
    </row>
    <row r="40" spans="1:3" x14ac:dyDescent="0.45">
      <c r="A40" t="s">
        <v>226</v>
      </c>
      <c r="B40" s="46">
        <v>10400</v>
      </c>
      <c r="C40" s="46">
        <v>10400</v>
      </c>
    </row>
    <row r="41" spans="1:3" x14ac:dyDescent="0.45">
      <c r="A41" t="s">
        <v>227</v>
      </c>
      <c r="B41" s="46">
        <v>0</v>
      </c>
      <c r="C41" s="46">
        <v>0</v>
      </c>
    </row>
    <row r="42" spans="1:3" x14ac:dyDescent="0.45">
      <c r="A42" t="s">
        <v>228</v>
      </c>
      <c r="B42" s="46">
        <v>2500</v>
      </c>
      <c r="C42" s="46">
        <v>2500</v>
      </c>
    </row>
    <row r="43" spans="1:3" x14ac:dyDescent="0.45">
      <c r="A43" t="s">
        <v>229</v>
      </c>
      <c r="B43" s="46">
        <v>8000</v>
      </c>
      <c r="C43" s="46">
        <v>8000</v>
      </c>
    </row>
    <row r="44" spans="1:3" x14ac:dyDescent="0.45">
      <c r="A44" t="s">
        <v>230</v>
      </c>
      <c r="B44" s="46">
        <v>5000</v>
      </c>
      <c r="C44" s="46">
        <v>5000</v>
      </c>
    </row>
    <row r="45" spans="1:3" x14ac:dyDescent="0.45">
      <c r="A45" t="s">
        <v>231</v>
      </c>
      <c r="B45" s="46">
        <v>12000</v>
      </c>
      <c r="C45" s="46">
        <v>12000</v>
      </c>
    </row>
    <row r="46" spans="1:3" x14ac:dyDescent="0.45">
      <c r="A46" t="s">
        <v>232</v>
      </c>
      <c r="B46" s="46">
        <v>6000</v>
      </c>
      <c r="C46" s="46">
        <v>6000</v>
      </c>
    </row>
    <row r="47" spans="1:3" x14ac:dyDescent="0.45">
      <c r="A47" t="s">
        <v>233</v>
      </c>
      <c r="B47" s="46">
        <v>2400</v>
      </c>
      <c r="C47" s="46">
        <v>2400</v>
      </c>
    </row>
    <row r="48" spans="1:3" x14ac:dyDescent="0.45">
      <c r="A48" t="s">
        <v>234</v>
      </c>
      <c r="B48" s="46">
        <v>1200</v>
      </c>
      <c r="C48" s="46">
        <v>1200</v>
      </c>
    </row>
    <row r="49" spans="1:3" x14ac:dyDescent="0.45">
      <c r="A49" t="s">
        <v>235</v>
      </c>
      <c r="B49" s="49">
        <v>22000</v>
      </c>
      <c r="C49" s="49">
        <v>22000</v>
      </c>
    </row>
    <row r="50" spans="1:3" x14ac:dyDescent="0.45">
      <c r="A50" t="s">
        <v>236</v>
      </c>
      <c r="B50" s="49">
        <v>2500</v>
      </c>
      <c r="C50" s="49">
        <v>2500</v>
      </c>
    </row>
    <row r="51" spans="1:3" x14ac:dyDescent="0.45">
      <c r="A51" t="s">
        <v>237</v>
      </c>
      <c r="B51" s="49">
        <v>2000</v>
      </c>
      <c r="C51" s="49">
        <v>2000</v>
      </c>
    </row>
    <row r="52" spans="1:3" ht="0.1" customHeight="1" x14ac:dyDescent="0.45">
      <c r="A52" t="s">
        <v>238</v>
      </c>
      <c r="B52" s="49">
        <v>0</v>
      </c>
      <c r="C52" s="49">
        <v>0</v>
      </c>
    </row>
    <row r="53" spans="1:3" x14ac:dyDescent="0.45">
      <c r="A53" s="33" t="s">
        <v>239</v>
      </c>
      <c r="B53" s="49">
        <v>40000</v>
      </c>
      <c r="C53" s="49">
        <v>40000</v>
      </c>
    </row>
    <row r="54" spans="1:3" x14ac:dyDescent="0.45">
      <c r="A54" t="s">
        <v>240</v>
      </c>
      <c r="B54" s="49">
        <v>5000</v>
      </c>
      <c r="C54" s="49">
        <v>5000</v>
      </c>
    </row>
    <row r="55" spans="1:3" x14ac:dyDescent="0.45">
      <c r="A55" s="7" t="s">
        <v>241</v>
      </c>
      <c r="B55" s="11">
        <f>SUM(B38:B54)</f>
        <v>131000</v>
      </c>
      <c r="C55" s="11">
        <f>SUM(C38:C54)</f>
        <v>131000</v>
      </c>
    </row>
    <row r="57" spans="1:3" x14ac:dyDescent="0.45">
      <c r="A57" s="1" t="s">
        <v>242</v>
      </c>
      <c r="B57" s="8"/>
      <c r="C57" s="7"/>
    </row>
    <row r="58" spans="1:3" x14ac:dyDescent="0.45">
      <c r="A58" t="s">
        <v>243</v>
      </c>
      <c r="B58" s="10">
        <f>B23-B55</f>
        <v>-28500</v>
      </c>
      <c r="C58" s="10">
        <f>C23-C55</f>
        <v>-28500</v>
      </c>
    </row>
    <row r="59" spans="1:3" x14ac:dyDescent="0.45">
      <c r="A59" t="s">
        <v>244</v>
      </c>
      <c r="B59" s="10">
        <f>B23*0.05</f>
        <v>5125</v>
      </c>
      <c r="C59" s="10">
        <f>C23*0.05</f>
        <v>5125</v>
      </c>
    </row>
    <row r="60" spans="1:3" x14ac:dyDescent="0.45">
      <c r="A60" t="s">
        <v>245</v>
      </c>
      <c r="B60" s="46">
        <v>7595</v>
      </c>
      <c r="C60" s="46">
        <v>7595</v>
      </c>
    </row>
    <row r="61" spans="1:3" x14ac:dyDescent="0.45">
      <c r="A61" t="s">
        <v>101</v>
      </c>
      <c r="B61" s="10">
        <f>B58-B60</f>
        <v>-36095</v>
      </c>
      <c r="C61" s="10">
        <f>C58-C60</f>
        <v>-36095</v>
      </c>
    </row>
    <row r="62" spans="1:3" x14ac:dyDescent="0.45">
      <c r="A62" s="7" t="s">
        <v>133</v>
      </c>
      <c r="B62" s="27">
        <f>IF(B55=0,"",B61/B55)</f>
        <v>-0.27553435114503816</v>
      </c>
      <c r="C62" s="27">
        <f>IF(C55=0,"",C61/C55)</f>
        <v>-0.27553435114503816</v>
      </c>
    </row>
  </sheetData>
  <mergeCells count="13">
    <mergeCell ref="B29:C32"/>
    <mergeCell ref="B1:C1"/>
    <mergeCell ref="D3:E3"/>
    <mergeCell ref="B4:C4"/>
    <mergeCell ref="H3:I3"/>
    <mergeCell ref="F3:G3"/>
    <mergeCell ref="J3:K3"/>
    <mergeCell ref="F2:G2"/>
    <mergeCell ref="B2:C2"/>
    <mergeCell ref="H2:I2"/>
    <mergeCell ref="D2:E2"/>
    <mergeCell ref="B3:C3"/>
    <mergeCell ref="J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4"/>
  <sheetViews>
    <sheetView workbookViewId="0"/>
  </sheetViews>
  <sheetFormatPr defaultRowHeight="14.25" x14ac:dyDescent="0.45"/>
  <cols>
    <col min="1" max="1" width="34" customWidth="1"/>
    <col min="2" max="3" width="18" customWidth="1"/>
    <col min="4" max="4" width="42" customWidth="1"/>
    <col min="6" max="7" width="24" customWidth="1"/>
  </cols>
  <sheetData>
    <row r="1" spans="1:7" ht="1.6" customHeight="1" x14ac:dyDescent="0.85">
      <c r="A1" s="13" t="s">
        <v>246</v>
      </c>
      <c r="B1" s="34">
        <v>2025</v>
      </c>
      <c r="C1" s="34"/>
      <c r="D1" s="13"/>
      <c r="F1" s="51" t="s">
        <v>247</v>
      </c>
      <c r="G1" s="22"/>
    </row>
    <row r="2" spans="1:7" x14ac:dyDescent="0.45">
      <c r="A2" s="14"/>
      <c r="B2" s="14" t="s">
        <v>204</v>
      </c>
      <c r="C2" s="14" t="s">
        <v>205</v>
      </c>
      <c r="D2" s="14" t="s">
        <v>248</v>
      </c>
      <c r="F2" s="7" t="s">
        <v>99</v>
      </c>
      <c r="G2" s="10">
        <f>B18</f>
        <v>102500</v>
      </c>
    </row>
    <row r="3" spans="1:7" x14ac:dyDescent="0.45">
      <c r="A3" s="15" t="s">
        <v>249</v>
      </c>
      <c r="B3" s="15"/>
      <c r="C3" s="15"/>
      <c r="D3" s="15" t="s">
        <v>250</v>
      </c>
      <c r="F3" s="7" t="s">
        <v>251</v>
      </c>
      <c r="G3" s="10">
        <f>B24</f>
        <v>11000</v>
      </c>
    </row>
    <row r="4" spans="1:7" x14ac:dyDescent="0.45">
      <c r="A4" s="54" t="s">
        <v>252</v>
      </c>
      <c r="B4" s="17">
        <f>'Retirement Cash Flow'!B8</f>
        <v>30000</v>
      </c>
      <c r="C4" s="17">
        <f>'Retirement Cash Flow'!C8</f>
        <v>30000</v>
      </c>
      <c r="D4" s="16"/>
      <c r="F4" s="7" t="s">
        <v>253</v>
      </c>
      <c r="G4" s="10">
        <f>B25</f>
        <v>113500</v>
      </c>
    </row>
    <row r="5" spans="1:7" x14ac:dyDescent="0.45">
      <c r="A5" s="54" t="s">
        <v>252</v>
      </c>
      <c r="B5" s="17">
        <f>'Retirement Cash Flow'!B9</f>
        <v>20000</v>
      </c>
      <c r="C5" s="17">
        <f>'Retirement Cash Flow'!C9</f>
        <v>20000</v>
      </c>
      <c r="D5" s="16"/>
      <c r="F5" s="7" t="s">
        <v>241</v>
      </c>
      <c r="G5" s="10">
        <f>B45</f>
        <v>131000</v>
      </c>
    </row>
    <row r="6" spans="1:7" x14ac:dyDescent="0.45">
      <c r="A6" s="18" t="s">
        <v>209</v>
      </c>
      <c r="B6" s="19">
        <f>B4+B5</f>
        <v>50000</v>
      </c>
      <c r="C6" s="19">
        <f>C4+C5</f>
        <v>50000</v>
      </c>
      <c r="D6" s="18"/>
      <c r="F6" s="7" t="s">
        <v>100</v>
      </c>
      <c r="G6" s="10">
        <f t="shared" ref="G6:G12" si="0">B48</f>
        <v>-28500</v>
      </c>
    </row>
    <row r="7" spans="1:7" x14ac:dyDescent="0.45">
      <c r="A7" s="54" t="s">
        <v>254</v>
      </c>
      <c r="B7" s="17">
        <f>'Retirement Cash Flow'!B12</f>
        <v>15000</v>
      </c>
      <c r="C7" s="17">
        <f>'Retirement Cash Flow'!C12</f>
        <v>15000</v>
      </c>
      <c r="D7" s="16"/>
      <c r="F7" s="7" t="s">
        <v>255</v>
      </c>
      <c r="G7" s="10">
        <f t="shared" si="0"/>
        <v>-17500</v>
      </c>
    </row>
    <row r="8" spans="1:7" x14ac:dyDescent="0.45">
      <c r="A8" s="54" t="s">
        <v>254</v>
      </c>
      <c r="B8" s="17">
        <f>'Retirement Cash Flow'!B13</f>
        <v>15000</v>
      </c>
      <c r="C8" s="17">
        <f>'Retirement Cash Flow'!C13</f>
        <v>15000</v>
      </c>
      <c r="D8" s="16"/>
      <c r="F8" s="7" t="s">
        <v>244</v>
      </c>
      <c r="G8" s="10">
        <f t="shared" si="0"/>
        <v>5125</v>
      </c>
    </row>
    <row r="9" spans="1:7" x14ac:dyDescent="0.45">
      <c r="A9" s="54" t="s">
        <v>254</v>
      </c>
      <c r="B9" s="17">
        <f>'Retirement Cash Flow'!B14</f>
        <v>15000</v>
      </c>
      <c r="C9" s="17">
        <f>'Retirement Cash Flow'!C14</f>
        <v>15000</v>
      </c>
      <c r="D9" s="16"/>
      <c r="F9" s="7" t="s">
        <v>256</v>
      </c>
      <c r="G9" s="10">
        <f t="shared" si="0"/>
        <v>7595</v>
      </c>
    </row>
    <row r="10" spans="1:7" x14ac:dyDescent="0.45">
      <c r="A10" s="18" t="s">
        <v>211</v>
      </c>
      <c r="B10" s="19">
        <f>SUM(B7:B9)</f>
        <v>45000</v>
      </c>
      <c r="C10" s="19">
        <f>SUM(C7:C9)</f>
        <v>45000</v>
      </c>
      <c r="D10" s="18"/>
      <c r="F10" s="7" t="s">
        <v>101</v>
      </c>
      <c r="G10" s="10">
        <f t="shared" si="0"/>
        <v>-36095</v>
      </c>
    </row>
    <row r="11" spans="1:7" x14ac:dyDescent="0.45">
      <c r="A11" s="54" t="s">
        <v>213</v>
      </c>
      <c r="B11" s="17">
        <f>'Retirement Cash Flow'!B17</f>
        <v>1500</v>
      </c>
      <c r="C11" s="17">
        <f>'Retirement Cash Flow'!C17</f>
        <v>1500</v>
      </c>
      <c r="D11" s="16"/>
      <c r="F11" s="7" t="s">
        <v>257</v>
      </c>
      <c r="G11" s="23">
        <f t="shared" si="0"/>
        <v>7.4097560975609753E-2</v>
      </c>
    </row>
    <row r="12" spans="1:7" x14ac:dyDescent="0.45">
      <c r="A12" s="54" t="s">
        <v>213</v>
      </c>
      <c r="B12" s="17">
        <f>'Retirement Cash Flow'!B18</f>
        <v>1500</v>
      </c>
      <c r="C12" s="17">
        <f>'Retirement Cash Flow'!C18</f>
        <v>1500</v>
      </c>
      <c r="D12" s="16"/>
      <c r="F12" s="7" t="s">
        <v>258</v>
      </c>
      <c r="G12" s="23">
        <f t="shared" si="0"/>
        <v>9.6916299559471369E-2</v>
      </c>
    </row>
    <row r="13" spans="1:7" x14ac:dyDescent="0.45">
      <c r="A13" s="54" t="s">
        <v>259</v>
      </c>
      <c r="B13" s="17">
        <f>'Retirement Cash Flow'!B19</f>
        <v>1500</v>
      </c>
      <c r="C13" s="17">
        <f>'Retirement Cash Flow'!C19</f>
        <v>1500</v>
      </c>
      <c r="D13" s="16"/>
      <c r="F13" t="s">
        <v>133</v>
      </c>
      <c r="G13" s="23">
        <f>IF(G5=0,"-",G10/G5)</f>
        <v>-0.27553435114503816</v>
      </c>
    </row>
    <row r="14" spans="1:7" x14ac:dyDescent="0.45">
      <c r="A14" s="54" t="s">
        <v>259</v>
      </c>
      <c r="B14" s="17">
        <f>'Retirement Cash Flow'!B20</f>
        <v>1500</v>
      </c>
      <c r="C14" s="17">
        <f>'Retirement Cash Flow'!C20</f>
        <v>1500</v>
      </c>
      <c r="D14" s="16"/>
    </row>
    <row r="15" spans="1:7" x14ac:dyDescent="0.45">
      <c r="A15" s="16" t="s">
        <v>260</v>
      </c>
      <c r="B15" s="17">
        <f>'Retirement Cash Flow'!B21</f>
        <v>1500</v>
      </c>
      <c r="C15" s="17">
        <f>'Retirement Cash Flow'!C21</f>
        <v>1500</v>
      </c>
      <c r="D15" s="16"/>
    </row>
    <row r="16" spans="1:7" x14ac:dyDescent="0.45">
      <c r="A16" s="18" t="s">
        <v>261</v>
      </c>
      <c r="B16" s="19">
        <f>'Retirement Cash Flow'!B22</f>
        <v>7500</v>
      </c>
      <c r="C16" s="19">
        <f>'Retirement Cash Flow'!C22</f>
        <v>7500</v>
      </c>
      <c r="D16" s="18"/>
    </row>
    <row r="17" spans="1:4" x14ac:dyDescent="0.45">
      <c r="A17" s="16" t="s">
        <v>262</v>
      </c>
      <c r="B17" s="17">
        <f>0</f>
        <v>0</v>
      </c>
      <c r="C17" s="17">
        <f>0</f>
        <v>0</v>
      </c>
      <c r="D17" s="16"/>
    </row>
    <row r="18" spans="1:4" x14ac:dyDescent="0.45">
      <c r="A18" s="18" t="s">
        <v>263</v>
      </c>
      <c r="B18" s="19">
        <f>'Retirement Cash Flow'!B23</f>
        <v>102500</v>
      </c>
      <c r="C18" s="19">
        <f>'Retirement Cash Flow'!C23</f>
        <v>102500</v>
      </c>
      <c r="D18" s="18" t="s">
        <v>264</v>
      </c>
    </row>
    <row r="19" spans="1:4" x14ac:dyDescent="0.45">
      <c r="A19" s="16"/>
      <c r="B19" s="17"/>
      <c r="C19" s="17"/>
      <c r="D19" s="16"/>
    </row>
    <row r="20" spans="1:4" x14ac:dyDescent="0.45">
      <c r="A20" s="15" t="s">
        <v>218</v>
      </c>
      <c r="B20" s="20"/>
      <c r="C20" s="20"/>
      <c r="D20" s="15" t="s">
        <v>265</v>
      </c>
    </row>
    <row r="21" spans="1:4" x14ac:dyDescent="0.45">
      <c r="A21" s="54" t="s">
        <v>266</v>
      </c>
      <c r="B21" s="17">
        <f>'Retirement Cash Flow'!B26</f>
        <v>7500</v>
      </c>
      <c r="C21" s="17">
        <f>'Retirement Cash Flow'!C26</f>
        <v>7500</v>
      </c>
      <c r="D21" s="16" t="s">
        <v>267</v>
      </c>
    </row>
    <row r="22" spans="1:4" x14ac:dyDescent="0.45">
      <c r="A22" s="54" t="s">
        <v>266</v>
      </c>
      <c r="B22" s="17">
        <f>'Retirement Cash Flow'!B27</f>
        <v>3500</v>
      </c>
      <c r="C22" s="17">
        <f>'Retirement Cash Flow'!C27</f>
        <v>3500</v>
      </c>
      <c r="D22" s="16" t="s">
        <v>267</v>
      </c>
    </row>
    <row r="23" spans="1:4" x14ac:dyDescent="0.45">
      <c r="A23" s="16" t="s">
        <v>268</v>
      </c>
      <c r="B23" s="17">
        <f>0</f>
        <v>0</v>
      </c>
      <c r="C23" s="17">
        <f>0</f>
        <v>0</v>
      </c>
      <c r="D23" s="16"/>
    </row>
    <row r="24" spans="1:4" x14ac:dyDescent="0.45">
      <c r="A24" s="18" t="s">
        <v>269</v>
      </c>
      <c r="B24" s="19">
        <f>'Retirement Cash Flow'!B28</f>
        <v>11000</v>
      </c>
      <c r="C24" s="19">
        <f>'Retirement Cash Flow'!C28</f>
        <v>11000</v>
      </c>
      <c r="D24" s="18"/>
    </row>
    <row r="25" spans="1:4" x14ac:dyDescent="0.45">
      <c r="A25" s="18" t="s">
        <v>270</v>
      </c>
      <c r="B25" s="19">
        <f>B18+B24</f>
        <v>113500</v>
      </c>
      <c r="C25" s="19">
        <f>C18+C24</f>
        <v>113500</v>
      </c>
      <c r="D25" s="18" t="s">
        <v>271</v>
      </c>
    </row>
    <row r="26" spans="1:4" x14ac:dyDescent="0.45">
      <c r="A26" s="16"/>
      <c r="B26" s="17"/>
      <c r="C26" s="17"/>
      <c r="D26" s="16"/>
    </row>
    <row r="27" spans="1:4" x14ac:dyDescent="0.45">
      <c r="A27" s="15" t="s">
        <v>223</v>
      </c>
      <c r="B27" s="20"/>
      <c r="C27" s="20"/>
      <c r="D27" s="15" t="s">
        <v>272</v>
      </c>
    </row>
    <row r="28" spans="1:4" x14ac:dyDescent="0.45">
      <c r="A28" s="16" t="s">
        <v>224</v>
      </c>
      <c r="B28" s="17">
        <f>'Retirement Cash Flow'!B38</f>
        <v>9000</v>
      </c>
      <c r="C28" s="17">
        <f>'Retirement Cash Flow'!C38</f>
        <v>9000</v>
      </c>
      <c r="D28" s="16"/>
    </row>
    <row r="29" spans="1:4" x14ac:dyDescent="0.45">
      <c r="A29" s="16" t="s">
        <v>225</v>
      </c>
      <c r="B29" s="17">
        <f>'Retirement Cash Flow'!B39</f>
        <v>3000</v>
      </c>
      <c r="C29" s="17">
        <f>'Retirement Cash Flow'!C39</f>
        <v>3000</v>
      </c>
      <c r="D29" s="16"/>
    </row>
    <row r="30" spans="1:4" x14ac:dyDescent="0.45">
      <c r="A30" s="16" t="s">
        <v>226</v>
      </c>
      <c r="B30" s="17">
        <f>'Retirement Cash Flow'!B40</f>
        <v>10400</v>
      </c>
      <c r="C30" s="17">
        <f>'Retirement Cash Flow'!C40</f>
        <v>10400</v>
      </c>
      <c r="D30" s="16"/>
    </row>
    <row r="31" spans="1:4" x14ac:dyDescent="0.45">
      <c r="A31" s="16" t="s">
        <v>227</v>
      </c>
      <c r="B31" s="17">
        <f>'Retirement Cash Flow'!B41</f>
        <v>0</v>
      </c>
      <c r="C31" s="17">
        <f>'Retirement Cash Flow'!C41</f>
        <v>0</v>
      </c>
      <c r="D31" s="16"/>
    </row>
    <row r="32" spans="1:4" x14ac:dyDescent="0.45">
      <c r="A32" s="16" t="s">
        <v>228</v>
      </c>
      <c r="B32" s="17">
        <f>'Retirement Cash Flow'!B42</f>
        <v>2500</v>
      </c>
      <c r="C32" s="17">
        <f>'Retirement Cash Flow'!C42</f>
        <v>2500</v>
      </c>
      <c r="D32" s="16"/>
    </row>
    <row r="33" spans="1:4" x14ac:dyDescent="0.45">
      <c r="A33" s="16" t="s">
        <v>229</v>
      </c>
      <c r="B33" s="17">
        <f>'Retirement Cash Flow'!B43</f>
        <v>8000</v>
      </c>
      <c r="C33" s="17">
        <f>'Retirement Cash Flow'!C43</f>
        <v>8000</v>
      </c>
      <c r="D33" s="16"/>
    </row>
    <row r="34" spans="1:4" x14ac:dyDescent="0.45">
      <c r="A34" s="16" t="s">
        <v>230</v>
      </c>
      <c r="B34" s="17">
        <f>'Retirement Cash Flow'!B44</f>
        <v>5000</v>
      </c>
      <c r="C34" s="17">
        <f>'Retirement Cash Flow'!C44</f>
        <v>5000</v>
      </c>
      <c r="D34" s="16"/>
    </row>
    <row r="35" spans="1:4" x14ac:dyDescent="0.45">
      <c r="A35" s="16" t="s">
        <v>240</v>
      </c>
      <c r="B35" s="17">
        <f>'Retirement Cash Flow'!B54</f>
        <v>5000</v>
      </c>
      <c r="C35" s="17">
        <f>'Retirement Cash Flow'!C54</f>
        <v>5000</v>
      </c>
      <c r="D35" s="16" t="s">
        <v>273</v>
      </c>
    </row>
    <row r="36" spans="1:4" x14ac:dyDescent="0.45">
      <c r="A36" s="16" t="s">
        <v>231</v>
      </c>
      <c r="B36" s="17">
        <f>'Retirement Cash Flow'!B45</f>
        <v>12000</v>
      </c>
      <c r="C36" s="17">
        <f>'Retirement Cash Flow'!C45</f>
        <v>12000</v>
      </c>
      <c r="D36" s="16"/>
    </row>
    <row r="37" spans="1:4" x14ac:dyDescent="0.45">
      <c r="A37" s="16" t="s">
        <v>232</v>
      </c>
      <c r="B37" s="17">
        <f>'Retirement Cash Flow'!B46</f>
        <v>6000</v>
      </c>
      <c r="C37" s="17">
        <f>'Retirement Cash Flow'!C46</f>
        <v>6000</v>
      </c>
      <c r="D37" s="16"/>
    </row>
    <row r="38" spans="1:4" x14ac:dyDescent="0.45">
      <c r="A38" s="16" t="s">
        <v>233</v>
      </c>
      <c r="B38" s="17">
        <f>'Retirement Cash Flow'!B47</f>
        <v>2400</v>
      </c>
      <c r="C38" s="17">
        <f>'Retirement Cash Flow'!C47</f>
        <v>2400</v>
      </c>
      <c r="D38" s="16"/>
    </row>
    <row r="39" spans="1:4" x14ac:dyDescent="0.45">
      <c r="A39" s="16" t="s">
        <v>234</v>
      </c>
      <c r="B39" s="17">
        <f>'Retirement Cash Flow'!B48</f>
        <v>1200</v>
      </c>
      <c r="C39" s="17">
        <f>'Retirement Cash Flow'!C48</f>
        <v>1200</v>
      </c>
      <c r="D39" s="16"/>
    </row>
    <row r="40" spans="1:4" x14ac:dyDescent="0.45">
      <c r="A40" s="16" t="s">
        <v>235</v>
      </c>
      <c r="B40" s="17">
        <f>'Retirement Cash Flow'!B49</f>
        <v>22000</v>
      </c>
      <c r="C40" s="17">
        <f>'Retirement Cash Flow'!C49</f>
        <v>22000</v>
      </c>
      <c r="D40" s="16" t="s">
        <v>274</v>
      </c>
    </row>
    <row r="41" spans="1:4" x14ac:dyDescent="0.45">
      <c r="A41" s="16" t="s">
        <v>236</v>
      </c>
      <c r="B41" s="17">
        <f>'Retirement Cash Flow'!B50</f>
        <v>2500</v>
      </c>
      <c r="C41" s="17">
        <f>'Retirement Cash Flow'!C50</f>
        <v>2500</v>
      </c>
      <c r="D41" s="16" t="s">
        <v>274</v>
      </c>
    </row>
    <row r="42" spans="1:4" x14ac:dyDescent="0.45">
      <c r="A42" s="16" t="s">
        <v>237</v>
      </c>
      <c r="B42" s="17">
        <f>'Retirement Cash Flow'!B51</f>
        <v>2000</v>
      </c>
      <c r="C42" s="17">
        <f>'Retirement Cash Flow'!C51</f>
        <v>2000</v>
      </c>
      <c r="D42" s="16" t="s">
        <v>274</v>
      </c>
    </row>
    <row r="43" spans="1:4" x14ac:dyDescent="0.45">
      <c r="A43" s="16" t="s">
        <v>238</v>
      </c>
      <c r="B43" s="17">
        <f>'Retirement Cash Flow'!B52</f>
        <v>0</v>
      </c>
      <c r="C43" s="17">
        <f>'Retirement Cash Flow'!C52</f>
        <v>0</v>
      </c>
      <c r="D43" s="16"/>
    </row>
    <row r="44" spans="1:4" x14ac:dyDescent="0.45">
      <c r="A44" s="16" t="s">
        <v>275</v>
      </c>
      <c r="B44" s="17">
        <f>'Retirement Cash Flow'!B53</f>
        <v>40000</v>
      </c>
      <c r="C44" s="17">
        <f>'Retirement Cash Flow'!C53</f>
        <v>40000</v>
      </c>
      <c r="D44" s="16"/>
    </row>
    <row r="45" spans="1:4" x14ac:dyDescent="0.45">
      <c r="A45" s="18" t="s">
        <v>276</v>
      </c>
      <c r="B45" s="19">
        <f>'Retirement Cash Flow'!B55</f>
        <v>131000</v>
      </c>
      <c r="C45" s="19">
        <f>'Retirement Cash Flow'!C55</f>
        <v>131000</v>
      </c>
      <c r="D45" s="18"/>
    </row>
    <row r="46" spans="1:4" x14ac:dyDescent="0.45">
      <c r="A46" s="16"/>
      <c r="B46" s="17"/>
      <c r="C46" s="17"/>
      <c r="D46" s="16"/>
    </row>
    <row r="47" spans="1:4" x14ac:dyDescent="0.45">
      <c r="A47" s="15" t="s">
        <v>242</v>
      </c>
      <c r="B47" s="20"/>
      <c r="C47" s="20"/>
      <c r="D47" s="15"/>
    </row>
    <row r="48" spans="1:4" x14ac:dyDescent="0.45">
      <c r="A48" s="18" t="s">
        <v>100</v>
      </c>
      <c r="B48" s="19">
        <f>B18-B45</f>
        <v>-28500</v>
      </c>
      <c r="C48" s="19">
        <f>C18-C45</f>
        <v>-28500</v>
      </c>
      <c r="D48" s="18" t="s">
        <v>277</v>
      </c>
    </row>
    <row r="49" spans="1:4" x14ac:dyDescent="0.45">
      <c r="A49" s="18" t="s">
        <v>278</v>
      </c>
      <c r="B49" s="19">
        <f>B25-B45</f>
        <v>-17500</v>
      </c>
      <c r="C49" s="19">
        <f>C25-C45</f>
        <v>-17500</v>
      </c>
      <c r="D49" s="18" t="s">
        <v>279</v>
      </c>
    </row>
    <row r="50" spans="1:4" x14ac:dyDescent="0.45">
      <c r="A50" s="18" t="s">
        <v>244</v>
      </c>
      <c r="B50" s="19">
        <f>B18*0.05</f>
        <v>5125</v>
      </c>
      <c r="C50" s="19">
        <f>C18*0.05</f>
        <v>5125</v>
      </c>
      <c r="D50" s="18" t="s">
        <v>280</v>
      </c>
    </row>
    <row r="51" spans="1:4" x14ac:dyDescent="0.45">
      <c r="A51" s="16" t="s">
        <v>256</v>
      </c>
      <c r="B51" s="17">
        <f>'Retirement Cash Flow'!B60</f>
        <v>7595</v>
      </c>
      <c r="C51" s="17">
        <f>'Retirement Cash Flow'!C60</f>
        <v>7595</v>
      </c>
      <c r="D51" s="16" t="s">
        <v>281</v>
      </c>
    </row>
    <row r="52" spans="1:4" x14ac:dyDescent="0.45">
      <c r="A52" s="18" t="s">
        <v>282</v>
      </c>
      <c r="B52" s="19">
        <f>B48-B51</f>
        <v>-36095</v>
      </c>
      <c r="C52" s="19">
        <f>C48-C51</f>
        <v>-36095</v>
      </c>
      <c r="D52" s="18" t="s">
        <v>283</v>
      </c>
    </row>
    <row r="53" spans="1:4" x14ac:dyDescent="0.45">
      <c r="A53" s="18" t="s">
        <v>257</v>
      </c>
      <c r="B53" s="21">
        <f>IF(B18=0,"-",B51/B18)</f>
        <v>7.4097560975609753E-2</v>
      </c>
      <c r="C53" s="21">
        <f>IF(C18=0,"-",C51/C18)</f>
        <v>7.4097560975609753E-2</v>
      </c>
      <c r="D53" s="18" t="s">
        <v>284</v>
      </c>
    </row>
    <row r="54" spans="1:4" x14ac:dyDescent="0.45">
      <c r="A54" s="18" t="s">
        <v>285</v>
      </c>
      <c r="B54" s="21">
        <f>IF(B25=0,"-",B24/B25)</f>
        <v>9.6916299559471369E-2</v>
      </c>
      <c r="C54" s="21">
        <f>IF(C25=0,"-",C24/C25)</f>
        <v>9.6916299559471369E-2</v>
      </c>
      <c r="D54" s="18" t="s">
        <v>286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6"/>
  <sheetViews>
    <sheetView workbookViewId="0"/>
  </sheetViews>
  <sheetFormatPr defaultRowHeight="14.25" x14ac:dyDescent="0.45"/>
  <cols>
    <col min="1" max="1" width="34" customWidth="1"/>
    <col min="2" max="6" width="14" customWidth="1"/>
    <col min="7" max="7" width="38" customWidth="1"/>
  </cols>
  <sheetData>
    <row r="1" spans="1:7" ht="0.4" customHeight="1" x14ac:dyDescent="0.45">
      <c r="A1" s="24" t="s">
        <v>287</v>
      </c>
      <c r="B1" s="35"/>
      <c r="C1" s="35"/>
      <c r="D1" s="24"/>
      <c r="E1" s="24"/>
      <c r="F1" s="24"/>
    </row>
    <row r="3" spans="1:7" x14ac:dyDescent="0.45">
      <c r="A3" s="25" t="s">
        <v>203</v>
      </c>
      <c r="B3" s="25" t="s">
        <v>288</v>
      </c>
      <c r="C3" s="25" t="s">
        <v>289</v>
      </c>
      <c r="D3" s="25" t="s">
        <v>290</v>
      </c>
      <c r="E3" s="25" t="s">
        <v>291</v>
      </c>
      <c r="F3" s="25" t="s">
        <v>292</v>
      </c>
      <c r="G3" s="25" t="s">
        <v>248</v>
      </c>
    </row>
    <row r="4" spans="1:7" x14ac:dyDescent="0.45">
      <c r="A4" s="26" t="s">
        <v>293</v>
      </c>
      <c r="B4" s="26"/>
      <c r="C4" s="26"/>
      <c r="D4" s="26"/>
      <c r="E4" s="26"/>
      <c r="F4" s="26"/>
      <c r="G4" s="26"/>
    </row>
    <row r="5" spans="1:7" x14ac:dyDescent="0.45">
      <c r="A5" t="s">
        <v>294</v>
      </c>
      <c r="B5" s="46">
        <v>25000</v>
      </c>
      <c r="C5" s="46"/>
      <c r="D5" s="46"/>
      <c r="E5" s="46"/>
      <c r="F5" s="46"/>
      <c r="G5" t="s">
        <v>295</v>
      </c>
    </row>
    <row r="6" spans="1:7" x14ac:dyDescent="0.45">
      <c r="A6" s="33" t="s">
        <v>296</v>
      </c>
      <c r="B6" s="46">
        <v>25000</v>
      </c>
      <c r="C6" s="50"/>
      <c r="D6" s="50"/>
      <c r="E6" s="50"/>
      <c r="F6" s="50"/>
      <c r="G6" t="s">
        <v>297</v>
      </c>
    </row>
    <row r="7" spans="1:7" x14ac:dyDescent="0.45">
      <c r="A7" s="33" t="s">
        <v>296</v>
      </c>
      <c r="B7" s="46">
        <v>25000</v>
      </c>
      <c r="C7" s="50"/>
      <c r="D7" s="50"/>
      <c r="E7" s="50"/>
      <c r="F7" s="50"/>
      <c r="G7" t="s">
        <v>298</v>
      </c>
    </row>
    <row r="8" spans="1:7" x14ac:dyDescent="0.45">
      <c r="A8" s="33" t="s">
        <v>299</v>
      </c>
      <c r="B8" s="46">
        <v>25000</v>
      </c>
      <c r="C8" s="46"/>
      <c r="D8" s="46"/>
      <c r="E8" s="46"/>
      <c r="F8" s="46"/>
      <c r="G8" t="s">
        <v>300</v>
      </c>
    </row>
    <row r="9" spans="1:7" x14ac:dyDescent="0.45">
      <c r="A9" s="33" t="s">
        <v>299</v>
      </c>
      <c r="B9" s="46">
        <v>25000</v>
      </c>
      <c r="C9" s="46"/>
      <c r="D9" s="46"/>
      <c r="E9" s="46"/>
      <c r="F9" s="46"/>
      <c r="G9" t="s">
        <v>301</v>
      </c>
    </row>
    <row r="10" spans="1:7" x14ac:dyDescent="0.45">
      <c r="A10" t="s">
        <v>302</v>
      </c>
      <c r="B10" s="46">
        <v>25000</v>
      </c>
      <c r="C10" s="46"/>
      <c r="D10" s="46"/>
      <c r="E10" s="46"/>
      <c r="F10" s="46"/>
      <c r="G10" t="s">
        <v>303</v>
      </c>
    </row>
    <row r="11" spans="1:7" x14ac:dyDescent="0.45">
      <c r="A11" s="33" t="s">
        <v>213</v>
      </c>
      <c r="B11" s="46">
        <v>25000</v>
      </c>
      <c r="C11" s="46"/>
      <c r="D11" s="46"/>
      <c r="E11" s="46"/>
      <c r="F11" s="46"/>
      <c r="G11" t="s">
        <v>304</v>
      </c>
    </row>
    <row r="12" spans="1:7" x14ac:dyDescent="0.45">
      <c r="A12" s="33" t="s">
        <v>213</v>
      </c>
      <c r="B12" s="46">
        <v>25000</v>
      </c>
      <c r="C12" s="46"/>
      <c r="D12" s="46"/>
      <c r="E12" s="46"/>
      <c r="F12" s="46"/>
      <c r="G12" t="s">
        <v>304</v>
      </c>
    </row>
    <row r="13" spans="1:7" x14ac:dyDescent="0.45">
      <c r="A13" t="s">
        <v>305</v>
      </c>
      <c r="B13" s="46">
        <v>550000</v>
      </c>
      <c r="C13" s="46"/>
      <c r="D13" s="46"/>
      <c r="E13" s="46"/>
      <c r="F13" s="46"/>
      <c r="G13" t="s">
        <v>306</v>
      </c>
    </row>
    <row r="14" spans="1:7" x14ac:dyDescent="0.45">
      <c r="A14" s="33" t="s">
        <v>307</v>
      </c>
      <c r="B14" s="46">
        <v>45000</v>
      </c>
      <c r="C14" s="46"/>
      <c r="D14" s="46"/>
      <c r="E14" s="46"/>
      <c r="F14" s="46"/>
      <c r="G14" t="s">
        <v>308</v>
      </c>
    </row>
    <row r="15" spans="1:7" x14ac:dyDescent="0.45">
      <c r="A15" s="33" t="s">
        <v>307</v>
      </c>
      <c r="B15" s="46">
        <v>15000</v>
      </c>
      <c r="C15" s="46"/>
      <c r="D15" s="46"/>
      <c r="E15" s="46"/>
      <c r="F15" s="46"/>
      <c r="G15" t="s">
        <v>309</v>
      </c>
    </row>
    <row r="16" spans="1:7" x14ac:dyDescent="0.45">
      <c r="A16" t="s">
        <v>310</v>
      </c>
      <c r="B16" s="46">
        <v>10000</v>
      </c>
      <c r="C16" s="46"/>
      <c r="D16" s="46"/>
      <c r="E16" s="46"/>
      <c r="F16" s="46"/>
      <c r="G16" t="s">
        <v>311</v>
      </c>
    </row>
    <row r="17" spans="1:7" x14ac:dyDescent="0.45">
      <c r="A17" s="7" t="s">
        <v>79</v>
      </c>
      <c r="B17" s="11">
        <f>SUM(B5:B16)</f>
        <v>820000</v>
      </c>
      <c r="C17" s="11">
        <f>SUM(C5:C16)</f>
        <v>0</v>
      </c>
      <c r="D17" s="11">
        <f>SUM(D5:D16)</f>
        <v>0</v>
      </c>
      <c r="E17" s="11">
        <f>SUM(E5:E16)</f>
        <v>0</v>
      </c>
      <c r="F17" s="11">
        <f>SUM(F5:F16)</f>
        <v>0</v>
      </c>
      <c r="G17" t="s">
        <v>312</v>
      </c>
    </row>
    <row r="18" spans="1:7" x14ac:dyDescent="0.45">
      <c r="B18" s="10"/>
      <c r="C18" s="10"/>
      <c r="D18" s="10"/>
      <c r="E18" s="10"/>
      <c r="F18" s="10"/>
    </row>
    <row r="19" spans="1:7" x14ac:dyDescent="0.45">
      <c r="A19" s="26" t="s">
        <v>313</v>
      </c>
      <c r="B19" s="39"/>
      <c r="C19" s="39"/>
      <c r="D19" s="39"/>
      <c r="E19" s="39"/>
      <c r="F19" s="39"/>
      <c r="G19" s="26"/>
    </row>
    <row r="20" spans="1:7" x14ac:dyDescent="0.45">
      <c r="A20" t="s">
        <v>314</v>
      </c>
      <c r="B20" s="46">
        <v>200000</v>
      </c>
      <c r="C20" s="46"/>
      <c r="D20" s="46"/>
      <c r="E20" s="46"/>
      <c r="F20" s="46"/>
      <c r="G20" t="s">
        <v>315</v>
      </c>
    </row>
    <row r="21" spans="1:7" x14ac:dyDescent="0.45">
      <c r="A21" s="33" t="s">
        <v>316</v>
      </c>
      <c r="B21" s="46">
        <v>0</v>
      </c>
      <c r="C21" s="46"/>
      <c r="D21" s="46"/>
      <c r="E21" s="46"/>
      <c r="F21" s="46"/>
      <c r="G21" t="s">
        <v>317</v>
      </c>
    </row>
    <row r="22" spans="1:7" x14ac:dyDescent="0.45">
      <c r="A22" s="33" t="s">
        <v>316</v>
      </c>
      <c r="B22" s="46">
        <v>0</v>
      </c>
      <c r="C22" s="46"/>
      <c r="D22" s="46"/>
      <c r="E22" s="46"/>
      <c r="F22" s="46"/>
      <c r="G22" t="s">
        <v>318</v>
      </c>
    </row>
    <row r="23" spans="1:7" x14ac:dyDescent="0.45">
      <c r="A23" t="s">
        <v>319</v>
      </c>
      <c r="B23" s="46">
        <v>0</v>
      </c>
      <c r="C23" s="46"/>
      <c r="D23" s="46"/>
      <c r="E23" s="46"/>
      <c r="F23" s="46"/>
      <c r="G23" t="s">
        <v>320</v>
      </c>
    </row>
    <row r="24" spans="1:7" x14ac:dyDescent="0.45">
      <c r="A24" t="s">
        <v>321</v>
      </c>
      <c r="B24" s="46">
        <v>0</v>
      </c>
      <c r="C24" s="46"/>
      <c r="D24" s="46"/>
      <c r="E24" s="46"/>
      <c r="F24" s="46"/>
      <c r="G24" t="s">
        <v>322</v>
      </c>
    </row>
    <row r="25" spans="1:7" x14ac:dyDescent="0.45">
      <c r="A25" s="7" t="s">
        <v>80</v>
      </c>
      <c r="B25" s="11">
        <f>SUM(B20:B24)</f>
        <v>200000</v>
      </c>
      <c r="C25" s="11">
        <f>SUM(C20:C24)</f>
        <v>0</v>
      </c>
      <c r="D25" s="11">
        <f>SUM(D20:D24)</f>
        <v>0</v>
      </c>
      <c r="E25" s="11">
        <f>SUM(E20:E24)</f>
        <v>0</v>
      </c>
      <c r="F25" s="11">
        <f>SUM(F20:F24)</f>
        <v>0</v>
      </c>
      <c r="G25" t="s">
        <v>323</v>
      </c>
    </row>
    <row r="26" spans="1:7" x14ac:dyDescent="0.45">
      <c r="B26" s="10"/>
      <c r="C26" s="10"/>
      <c r="D26" s="10"/>
      <c r="E26" s="10"/>
      <c r="F26" s="10"/>
    </row>
    <row r="27" spans="1:7" x14ac:dyDescent="0.45">
      <c r="A27" s="26" t="s">
        <v>324</v>
      </c>
      <c r="B27" s="39"/>
      <c r="C27" s="39"/>
      <c r="D27" s="39"/>
      <c r="E27" s="39"/>
      <c r="F27" s="39"/>
      <c r="G27" s="26"/>
    </row>
    <row r="28" spans="1:7" x14ac:dyDescent="0.45">
      <c r="A28" s="7" t="s">
        <v>81</v>
      </c>
      <c r="B28" s="11">
        <f>B17-B25</f>
        <v>620000</v>
      </c>
      <c r="C28" s="11">
        <f>C17-C25</f>
        <v>0</v>
      </c>
      <c r="D28" s="11">
        <f>D17-D25</f>
        <v>0</v>
      </c>
      <c r="E28" s="11">
        <f>E17-E25</f>
        <v>0</v>
      </c>
      <c r="F28" s="11">
        <f>F17-F25</f>
        <v>0</v>
      </c>
      <c r="G28" t="s">
        <v>325</v>
      </c>
    </row>
    <row r="29" spans="1:7" x14ac:dyDescent="0.45">
      <c r="A29" s="7" t="s">
        <v>82</v>
      </c>
      <c r="B29" s="11">
        <f>B13-B20</f>
        <v>350000</v>
      </c>
      <c r="C29" s="11">
        <f>C13-C20</f>
        <v>0</v>
      </c>
      <c r="D29" s="11">
        <f>D13-D20</f>
        <v>0</v>
      </c>
      <c r="E29" s="11">
        <f>E13-E20</f>
        <v>0</v>
      </c>
      <c r="F29" s="11">
        <f>F13-F20</f>
        <v>0</v>
      </c>
      <c r="G29" t="s">
        <v>326</v>
      </c>
    </row>
    <row r="30" spans="1:7" x14ac:dyDescent="0.45">
      <c r="A30" s="7" t="s">
        <v>83</v>
      </c>
      <c r="B30" s="11">
        <f>(B14+B15)-(B21+B22)</f>
        <v>60000</v>
      </c>
      <c r="C30" s="11">
        <f>(C14+C15)-(C21+C22)</f>
        <v>0</v>
      </c>
      <c r="D30" s="11">
        <f>(D14+D15)-(D21+D22)</f>
        <v>0</v>
      </c>
      <c r="E30" s="11">
        <f>(E14+E15)-(E21+E22)</f>
        <v>0</v>
      </c>
      <c r="F30" s="11">
        <f>(F14+F15)-(F21+F22)</f>
        <v>0</v>
      </c>
      <c r="G30" t="s">
        <v>327</v>
      </c>
    </row>
    <row r="31" spans="1:7" x14ac:dyDescent="0.45">
      <c r="A31" s="7" t="s">
        <v>84</v>
      </c>
      <c r="B31" s="11">
        <f>SUM(B5:B10)</f>
        <v>150000</v>
      </c>
      <c r="C31" s="11">
        <f>SUM(C5:C10)</f>
        <v>0</v>
      </c>
      <c r="D31" s="11">
        <f>SUM(D5:D10)</f>
        <v>0</v>
      </c>
      <c r="E31" s="11">
        <f>SUM(E5:E10)</f>
        <v>0</v>
      </c>
      <c r="F31" s="11">
        <f>SUM(F5:F10)</f>
        <v>0</v>
      </c>
      <c r="G31" t="s">
        <v>328</v>
      </c>
    </row>
    <row r="32" spans="1:7" x14ac:dyDescent="0.45">
      <c r="A32" s="7" t="s">
        <v>329</v>
      </c>
      <c r="B32" s="11">
        <f>'Cash Flow V8'!G5</f>
        <v>131000</v>
      </c>
      <c r="C32" s="47"/>
      <c r="D32" s="47"/>
      <c r="E32" s="47"/>
      <c r="F32" s="47"/>
      <c r="G32" t="s">
        <v>330</v>
      </c>
    </row>
    <row r="33" spans="1:7" x14ac:dyDescent="0.45">
      <c r="A33" s="7" t="s">
        <v>331</v>
      </c>
      <c r="B33" s="40">
        <f>IF(B32=0,"-",B31/B32)</f>
        <v>1.1450381679389312</v>
      </c>
      <c r="C33" s="40" t="str">
        <f>IF(C32=0,"-",C31/C32)</f>
        <v>-</v>
      </c>
      <c r="D33" s="40" t="str">
        <f>IF(D32=0,"-",D31/D32)</f>
        <v>-</v>
      </c>
      <c r="E33" s="40" t="str">
        <f>IF(E32=0,"-",E31/E32)</f>
        <v>-</v>
      </c>
      <c r="F33" s="40" t="str">
        <f>IF(F32=0,"-",F31/F32)</f>
        <v>-</v>
      </c>
      <c r="G33" t="s">
        <v>332</v>
      </c>
    </row>
    <row r="34" spans="1:7" x14ac:dyDescent="0.45">
      <c r="A34" s="7" t="s">
        <v>130</v>
      </c>
      <c r="B34" s="41">
        <f>IF(B17=0,"-",B25/B17)</f>
        <v>0.24390243902439024</v>
      </c>
      <c r="C34" s="41" t="str">
        <f>IF(C17=0,"-",C25/C17)</f>
        <v>-</v>
      </c>
      <c r="D34" s="41" t="str">
        <f>IF(D17=0,"-",D25/D17)</f>
        <v>-</v>
      </c>
      <c r="E34" s="41" t="str">
        <f>IF(E17=0,"-",E25/E17)</f>
        <v>-</v>
      </c>
      <c r="F34" s="41" t="str">
        <f>IF(F17=0,"-",F25/F17)</f>
        <v>-</v>
      </c>
      <c r="G34" t="s">
        <v>333</v>
      </c>
    </row>
    <row r="35" spans="1:7" x14ac:dyDescent="0.45">
      <c r="A35" s="7" t="s">
        <v>133</v>
      </c>
      <c r="B35" s="41">
        <f>'Cash Flow V8'!G13</f>
        <v>-0.27553435114503816</v>
      </c>
      <c r="C35" s="41"/>
      <c r="D35" s="41"/>
      <c r="E35" s="41"/>
      <c r="F35" s="41"/>
      <c r="G35" t="s">
        <v>334</v>
      </c>
    </row>
    <row r="36" spans="1:7" x14ac:dyDescent="0.45">
      <c r="G36" t="s">
        <v>335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7"/>
  <sheetViews>
    <sheetView topLeftCell="A2" workbookViewId="0"/>
  </sheetViews>
  <sheetFormatPr defaultRowHeight="14.25" x14ac:dyDescent="0.45"/>
  <cols>
    <col min="1" max="1" width="36" customWidth="1"/>
    <col min="2" max="2" width="18" customWidth="1"/>
    <col min="3" max="3" width="70" customWidth="1"/>
  </cols>
  <sheetData>
    <row r="1" spans="1:3" ht="0.3" customHeight="1" x14ac:dyDescent="0.65">
      <c r="A1" s="94" t="s">
        <v>336</v>
      </c>
      <c r="B1" s="87"/>
      <c r="C1" s="87"/>
    </row>
    <row r="2" spans="1:3" x14ac:dyDescent="0.45">
      <c r="A2" s="7" t="s">
        <v>337</v>
      </c>
      <c r="B2" s="38" t="s">
        <v>338</v>
      </c>
      <c r="C2" s="7"/>
    </row>
    <row r="4" spans="1:3" x14ac:dyDescent="0.45">
      <c r="A4" s="28" t="s">
        <v>339</v>
      </c>
      <c r="B4" s="28"/>
      <c r="C4" s="28"/>
    </row>
    <row r="5" spans="1:3" ht="0.1" customHeight="1" x14ac:dyDescent="0.45">
      <c r="A5" s="30" t="s">
        <v>340</v>
      </c>
      <c r="B5" s="15" t="str">
        <f>IF(B17&lt;0,"C - Negative Remaining Cash Flow",IF(B13&lt;0,"B- - Operating Deficit",IF(B32&lt;2,"B- - Low Liquidity Coverage",IF(B34&lt;0.25,"B - Limited Flexibility",IF(B34&lt;0.5,"A-","A")))))</f>
        <v>C - Negative Remaining Cash Flow</v>
      </c>
      <c r="C5" s="15" t="str">
        <f>IF(B17&lt;0,"Warning: operating cash flow after the savings transfer is negative. The plan still may be manageable with asset drawdowns, but expense levels or the savings transfer should be reviewed.",IF(B13&lt;0,"The plan requires asset drawdowns to cover annual expenses. This may be acceptable if intentional, but should be monitored.",IF(B34&lt;0.25,"The plan remains positive, but financial flexibility is limited. Monitor expenses and maintain liquidity.","The retirement plan appears financially resilient. Recurring income covers annual expenses with a substantial margin, asset drawdowns remain modest, and liquid assets provide strong protection against unexpected events.")))</f>
        <v>Warning: operating cash flow after the savings transfer is negative. The plan still may be manageable with asset drawdowns, but expense levels or the savings transfer should be reviewed.</v>
      </c>
    </row>
    <row r="6" spans="1:3" x14ac:dyDescent="0.45">
      <c r="C6" s="16"/>
    </row>
    <row r="7" spans="1:3" x14ac:dyDescent="0.45">
      <c r="A7" s="28" t="s">
        <v>341</v>
      </c>
      <c r="B7" s="28"/>
      <c r="C7" s="31"/>
    </row>
    <row r="8" spans="1:3" x14ac:dyDescent="0.45">
      <c r="A8" s="29" t="s">
        <v>342</v>
      </c>
      <c r="B8" s="29" t="s">
        <v>343</v>
      </c>
      <c r="C8" s="14" t="s">
        <v>344</v>
      </c>
    </row>
    <row r="9" spans="1:3" x14ac:dyDescent="0.45">
      <c r="A9" t="s">
        <v>99</v>
      </c>
      <c r="B9" s="10">
        <f>'Cash Flow V8'!G2</f>
        <v>102500</v>
      </c>
      <c r="C9" s="16" t="str">
        <f>IF(B13&lt;0,"Income insufficient for current spending",IF(B9&lt;50000,"Limited recurring income","Recurring income supports plan"))</f>
        <v>Income insufficient for current spending</v>
      </c>
    </row>
    <row r="10" spans="1:3" x14ac:dyDescent="0.45">
      <c r="A10" t="s">
        <v>251</v>
      </c>
      <c r="B10" s="10">
        <f>'Cash Flow V8'!G3</f>
        <v>11000</v>
      </c>
      <c r="C10" s="16" t="str">
        <f>IF(B10=0,"No asset drawdowns",IF(B10/B11&lt;0.15,"Modest drawdowns",IF(B10/B11&lt;0.3,"Moderate drawdowns","High reliance on drawdowns")))</f>
        <v>Modest drawdowns</v>
      </c>
    </row>
    <row r="11" spans="1:3" x14ac:dyDescent="0.45">
      <c r="A11" t="s">
        <v>253</v>
      </c>
      <c r="B11" s="10">
        <f>'Cash Flow V8'!G4</f>
        <v>113500</v>
      </c>
      <c r="C11" s="16" t="str">
        <f>"Operating income plus drawdowns"</f>
        <v>Operating income plus drawdowns</v>
      </c>
    </row>
    <row r="12" spans="1:3" x14ac:dyDescent="0.45">
      <c r="A12" t="s">
        <v>241</v>
      </c>
      <c r="B12" s="10">
        <f>'Cash Flow V8'!G5</f>
        <v>131000</v>
      </c>
      <c r="C12" s="16" t="str">
        <f>IF(B12&gt;0,"Includes living expenses, taxes, and family gifts","Verify expense inputs")</f>
        <v>Includes living expenses, taxes, and family gifts</v>
      </c>
    </row>
    <row r="13" spans="1:3" x14ac:dyDescent="0.45">
      <c r="A13" t="s">
        <v>100</v>
      </c>
      <c r="B13" s="10">
        <f>'Cash Flow V8'!G6</f>
        <v>-28500</v>
      </c>
      <c r="C13" s="16" t="str">
        <f>IF(B13&lt;0,"Deficit: recurring income does not cover expenses",IF(B13&lt;10000,"Tight",IF(B13&lt;50000,"Strong","Excellent")))</f>
        <v>Deficit: recurring income does not cover expenses</v>
      </c>
    </row>
    <row r="14" spans="1:3" x14ac:dyDescent="0.45">
      <c r="A14" t="s">
        <v>278</v>
      </c>
      <c r="B14" s="10">
        <f>'Cash Flow V8'!G7</f>
        <v>-17500</v>
      </c>
      <c r="C14" s="16" t="str">
        <f>IF(B14&lt;0,"Deficit including drawdowns",IF(B14&lt;10000,"Tight",IF(B14&lt;50000,"Strong","Excellent")))</f>
        <v>Deficit including drawdowns</v>
      </c>
    </row>
    <row r="15" spans="1:3" x14ac:dyDescent="0.45">
      <c r="A15" t="s">
        <v>244</v>
      </c>
      <c r="B15" s="10">
        <f>'Cash Flow V8'!G8</f>
        <v>5125</v>
      </c>
      <c r="C15" s="16" t="str">
        <f>"Calculated from operating income only"</f>
        <v>Calculated from operating income only</v>
      </c>
    </row>
    <row r="16" spans="1:3" x14ac:dyDescent="0.45">
      <c r="A16" t="s">
        <v>345</v>
      </c>
      <c r="B16" s="10">
        <f>'Cash Flow V8'!G9</f>
        <v>7595</v>
      </c>
      <c r="C16" s="16" t="str">
        <f>IF(B16&gt;=B15,"Goal met","Below goal")</f>
        <v>Goal met</v>
      </c>
    </row>
    <row r="17" spans="1:3" x14ac:dyDescent="0.45">
      <c r="A17" t="s">
        <v>282</v>
      </c>
      <c r="B17" s="10">
        <f>'Cash Flow V8'!G10</f>
        <v>-36095</v>
      </c>
      <c r="C17" s="16" t="str">
        <f>IF(B17&lt;0,"Negative: review spending or savings transfer",IF(B17&lt;10000,"Tight flexibility",IF(B17&lt;50000,"Strong flexibility","Excellent flexibility")))</f>
        <v>Negative: review spending or savings transfer</v>
      </c>
    </row>
    <row r="18" spans="1:3" x14ac:dyDescent="0.45">
      <c r="B18" s="10"/>
      <c r="C18" s="16"/>
    </row>
    <row r="19" spans="1:3" x14ac:dyDescent="0.45">
      <c r="A19" s="28" t="s">
        <v>346</v>
      </c>
      <c r="B19" s="36"/>
      <c r="C19" s="31"/>
    </row>
    <row r="20" spans="1:3" x14ac:dyDescent="0.45">
      <c r="A20" s="29" t="s">
        <v>342</v>
      </c>
      <c r="B20" s="37" t="s">
        <v>343</v>
      </c>
      <c r="C20" s="14" t="s">
        <v>344</v>
      </c>
    </row>
    <row r="21" spans="1:3" x14ac:dyDescent="0.45">
      <c r="A21" t="s">
        <v>79</v>
      </c>
      <c r="B21" s="10">
        <f>'Capital &amp; Net Worth'!B17</f>
        <v>820000</v>
      </c>
      <c r="C21" s="16" t="str">
        <f>IF(B13&lt;0,"Assets cannot offset ongoing cash flow deficit",IF(B21&gt;1000000,"Substantial asset base",IF(B21&gt;500000,"Strong asset base","Limited asset base")))</f>
        <v>Assets cannot offset ongoing cash flow deficit</v>
      </c>
    </row>
    <row r="22" spans="1:3" x14ac:dyDescent="0.45">
      <c r="A22" t="s">
        <v>80</v>
      </c>
      <c r="B22" s="10">
        <f>'Capital &amp; Net Worth'!B25</f>
        <v>200000</v>
      </c>
      <c r="C22" s="16" t="str">
        <f>IF(B13&lt;0,"Debt increases financial strain",IF(B21=0,"Verify asset inputs",IF(B22/B21&lt;0.15,"Low debt relative to assets",IF(B22/B21&lt;0.3,"Moderate debt","Elevated debt"))))</f>
        <v>Debt increases financial strain</v>
      </c>
    </row>
    <row r="23" spans="1:3" x14ac:dyDescent="0.45">
      <c r="A23" t="s">
        <v>81</v>
      </c>
      <c r="B23" s="10">
        <f>'Capital &amp; Net Worth'!B28</f>
        <v>620000</v>
      </c>
      <c r="C23" s="16" t="str">
        <f>IF(B13&lt;0,"Net worth is positive but cash flow is unsustainable",IF(B23&lt;0,"Negative net worth",IF(B23&gt;1000000,"Substantial net worth",IF(B23&gt;500000,"Solid net worth","Monitor net worth"))))</f>
        <v>Net worth is positive but cash flow is unsustainable</v>
      </c>
    </row>
    <row r="24" spans="1:3" x14ac:dyDescent="0.45">
      <c r="A24" t="s">
        <v>82</v>
      </c>
      <c r="B24" s="10">
        <f>'Capital &amp; Net Worth'!B29</f>
        <v>350000</v>
      </c>
      <c r="C24" s="16" t="str">
        <f>IF(B13&lt;0,"Home equity is not a substitute for cash flow",IF(B24&gt;0,"Positive home equity","Review mortgage/home value"))</f>
        <v>Home equity is not a substitute for cash flow</v>
      </c>
    </row>
    <row r="25" spans="1:3" x14ac:dyDescent="0.45">
      <c r="A25" t="s">
        <v>83</v>
      </c>
      <c r="B25" s="10">
        <f>'Capital &amp; Net Worth'!B30</f>
        <v>60000</v>
      </c>
      <c r="C25" s="16" t="str">
        <f>IF(B13&lt;0,"Vehicle equity does not improve cash flow",IF(B25&gt;=0,"Positive vehicle equity","Vehicle debt exceeds value"))</f>
        <v>Vehicle equity does not improve cash flow</v>
      </c>
    </row>
    <row r="26" spans="1:3" x14ac:dyDescent="0.45">
      <c r="A26" t="s">
        <v>84</v>
      </c>
      <c r="B26" s="10">
        <f>'Capital &amp; Net Worth'!B31</f>
        <v>150000</v>
      </c>
      <c r="C26" s="16" t="str">
        <f>IF(B32&lt;1,"Critical liquidity",IF(B32&lt;2,"Limited liquidity cushion",IF(AND(B13&lt;0,B32&lt;5),"Liquidity should not mask cash flow deficit",IF(B32&lt;5,"Adequate liquidity","Strong liquidity"))))</f>
        <v>Limited liquidity cushion</v>
      </c>
    </row>
    <row r="27" spans="1:3" x14ac:dyDescent="0.45">
      <c r="A27" t="s">
        <v>213</v>
      </c>
      <c r="B27" s="10">
        <f>'Capital &amp; Net Worth'!B11</f>
        <v>25000</v>
      </c>
      <c r="C27" t="s">
        <v>347</v>
      </c>
    </row>
    <row r="28" spans="1:3" x14ac:dyDescent="0.45">
      <c r="A28" t="s">
        <v>213</v>
      </c>
      <c r="B28" s="10">
        <f>'Capital &amp; Net Worth'!B12</f>
        <v>25000</v>
      </c>
      <c r="C28" t="s">
        <v>347</v>
      </c>
    </row>
    <row r="29" spans="1:3" x14ac:dyDescent="0.45">
      <c r="C29" s="16"/>
    </row>
    <row r="30" spans="1:3" x14ac:dyDescent="0.45">
      <c r="A30" s="28" t="s">
        <v>324</v>
      </c>
      <c r="B30" s="28"/>
      <c r="C30" s="31"/>
    </row>
    <row r="31" spans="1:3" x14ac:dyDescent="0.45">
      <c r="A31" s="29" t="s">
        <v>342</v>
      </c>
      <c r="B31" s="42" t="s">
        <v>348</v>
      </c>
      <c r="C31" s="14" t="s">
        <v>344</v>
      </c>
    </row>
    <row r="32" spans="1:3" x14ac:dyDescent="0.45">
      <c r="A32" t="s">
        <v>103</v>
      </c>
      <c r="B32" s="44">
        <f>'Capital &amp; Net Worth'!B33</f>
        <v>1.1450381679389312</v>
      </c>
      <c r="C32" s="16" t="str">
        <f>IF(B32="-","No expense base",IF(B32&gt;=10,"Excellent",IF(B32&gt;=5,"Strong",IF(B32&gt;=2,"Adequate","Weak"))))</f>
        <v>Weak</v>
      </c>
    </row>
    <row r="33" spans="1:3" x14ac:dyDescent="0.45">
      <c r="A33" t="s">
        <v>130</v>
      </c>
      <c r="B33" s="43">
        <f>'Capital &amp; Net Worth'!B34</f>
        <v>0.24390243902439024</v>
      </c>
      <c r="C33" s="16" t="str">
        <f>IF(B33="-","No asset base",IF(B33&lt;0.15,"Very Low",IF(B33&lt;0.3,"Low",IF(B33&lt;0.5,"Moderate","High"))))</f>
        <v>Low</v>
      </c>
    </row>
    <row r="34" spans="1:3" x14ac:dyDescent="0.45">
      <c r="A34" t="s">
        <v>133</v>
      </c>
      <c r="B34" s="43">
        <f>'Capital &amp; Net Worth'!B35</f>
        <v>-0.27553435114503816</v>
      </c>
      <c r="C34" s="16" t="str">
        <f>IF(B34="-","No expense base",IF(B34&lt;0,"Deficit",IF(B34&lt;0.1,"Tight",IF(B34&lt;0.25,"Adequate",IF(B34&lt;0.5,"Strong","Excellent")))))</f>
        <v>Deficit</v>
      </c>
    </row>
    <row r="35" spans="1:3" x14ac:dyDescent="0.45">
      <c r="A35" t="s">
        <v>258</v>
      </c>
      <c r="B35" s="43">
        <f>'Cash Flow V8'!G12</f>
        <v>9.6916299559471369E-2</v>
      </c>
      <c r="C35" s="16" t="str">
        <f>IF(B13&lt;0,IF(B14&lt;0,"Insufficient to restore positive cash flow",IF(B35&lt;0.15,"Supplemental","Moderate reliance")),IF(B35&lt;0.15,"Healthy",IF(B35&lt;0.3,"Moderate",IF(B35&lt;0.5,"Elevated","High reliance"))))</f>
        <v>Insufficient to restore positive cash flow</v>
      </c>
    </row>
    <row r="36" spans="1:3" x14ac:dyDescent="0.45">
      <c r="C36" s="16"/>
    </row>
    <row r="37" spans="1:3" ht="0.2" customHeight="1" x14ac:dyDescent="0.45">
      <c r="A37" s="28" t="s">
        <v>349</v>
      </c>
      <c r="B37" s="28"/>
      <c r="C37" s="31"/>
    </row>
    <row r="38" spans="1:3" x14ac:dyDescent="0.45">
      <c r="A38" t="s">
        <v>240</v>
      </c>
      <c r="B38" s="10">
        <f>'Cash Flow V8'!B35</f>
        <v>5000</v>
      </c>
      <c r="C38" s="16" t="s">
        <v>350</v>
      </c>
    </row>
    <row r="39" spans="1:3" ht="0.3" customHeight="1" x14ac:dyDescent="0.45">
      <c r="A39" t="s">
        <v>344</v>
      </c>
      <c r="C39" s="16" t="str">
        <f>IF(B17&lt;0,"Family gifting should be reviewed because remaining operating cash flow after savings is negative.","The plan has enough cash-flow capacity to support annual family gifting while maintaining financial security.")</f>
        <v>Family gifting should be reviewed because remaining operating cash flow after savings is negative.</v>
      </c>
    </row>
    <row r="40" spans="1:3" x14ac:dyDescent="0.45">
      <c r="C40" s="16"/>
    </row>
    <row r="41" spans="1:3" x14ac:dyDescent="0.45">
      <c r="A41" s="55" t="s">
        <v>351</v>
      </c>
      <c r="B41" s="55"/>
      <c r="C41" s="69"/>
    </row>
    <row r="42" spans="1:3" ht="0.85" customHeight="1" x14ac:dyDescent="0.45">
      <c r="A42" s="16" t="str">
        <f>IF(B13&lt;0,"• WARNING: Recurring income does not cover annual expenses.","• Recurring income covers annual expenses.")</f>
        <v>• WARNING: Recurring income does not cover annual expenses.</v>
      </c>
      <c r="C42" s="16"/>
    </row>
    <row r="43" spans="1:3" ht="0.85" customHeight="1" x14ac:dyDescent="0.45">
      <c r="A43" s="16" t="str">
        <f>IF(B14&lt;0,"• WARNING: Asset drawdowns do not eliminate the annual deficit.","• Cash flow remains positive after asset drawdowns.")</f>
        <v>• WARNING: Asset drawdowns do not eliminate the annual deficit.</v>
      </c>
      <c r="C43" s="16"/>
    </row>
    <row r="44" spans="1:3" ht="0.85" customHeight="1" x14ac:dyDescent="0.45">
      <c r="A44" s="16" t="str">
        <f>IF(B17&lt;0,"• CRITICAL: Remaining cash flow after savings is negative.","• Remaining cash flow after savings is positive.")</f>
        <v>• CRITICAL: Remaining cash flow after savings is negative.</v>
      </c>
      <c r="C44" s="16"/>
    </row>
    <row r="45" spans="1:3" ht="0.85" customHeight="1" x14ac:dyDescent="0.45">
      <c r="A45" s="16" t="str">
        <f>IF(B32&gt;=2,"• Cash reserve exceeds two years of expenses.",IF(B32&gt;=0.5,"• WARNING: Cash reserve is below two years of expenses.","• CRITICAL: Cash reserve is below six months of expenses."))</f>
        <v>• WARNING: Cash reserve is below two years of expenses.</v>
      </c>
      <c r="C45" s="16"/>
    </row>
    <row r="46" spans="1:3" ht="0.85" customHeight="1" x14ac:dyDescent="0.45">
      <c r="A46" s="16" t="str">
        <f>IF(B32&lt;=0,"• CRITICAL: No liquid cash reserve remains.","• Liquid reserves currently cover "&amp;TEXT(B32,"0.00")&amp;" years of expenses.")</f>
        <v>• Liquid reserves currently cover 1.15 years of expenses.</v>
      </c>
      <c r="C46" s="16"/>
    </row>
    <row r="47" spans="1:3" ht="0.85" customHeight="1" x14ac:dyDescent="0.45">
      <c r="A47" s="16" t="str">
        <f>IF(B34&lt;0,"• Financial flexibility is negative; immediate review is recommended.","• Financial flexibility is positive.")</f>
        <v>• Financial flexibility is negative; immediate review is recommended.</v>
      </c>
      <c r="C47" s="16"/>
    </row>
    <row r="48" spans="1:3" x14ac:dyDescent="0.45">
      <c r="C48" s="16"/>
    </row>
    <row r="49" spans="1:3" x14ac:dyDescent="0.45">
      <c r="A49" s="55" t="s">
        <v>352</v>
      </c>
      <c r="B49" s="55"/>
      <c r="C49" s="69"/>
    </row>
    <row r="50" spans="1:3" x14ac:dyDescent="0.45">
      <c r="A50" s="16" t="s">
        <v>106</v>
      </c>
      <c r="B50" s="70">
        <f>'Retirement Goals &amp; 40-Year Plan'!G5</f>
        <v>6</v>
      </c>
      <c r="C50" s="16" t="str">
        <f>'Retirement Goals &amp; 40-Year Plan'!G6</f>
        <v>CURRENT DESIGN UNLIKELY TO MEET STATED GOALS</v>
      </c>
    </row>
    <row r="51" spans="1:3" x14ac:dyDescent="0.45">
      <c r="A51" s="16" t="s">
        <v>353</v>
      </c>
      <c r="B51" s="16" t="str">
        <f>'Retirement Goals &amp; 40-Year Plan'!G8</f>
        <v>Not reached</v>
      </c>
      <c r="C51" s="16" t="s">
        <v>354</v>
      </c>
    </row>
    <row r="52" spans="1:3" x14ac:dyDescent="0.45">
      <c r="A52" s="16" t="s">
        <v>355</v>
      </c>
      <c r="B52" s="16" t="str">
        <f>'Retirement Goals &amp; 40-Year Plan'!G9</f>
        <v>Not reached</v>
      </c>
      <c r="C52" s="16" t="s">
        <v>356</v>
      </c>
    </row>
    <row r="53" spans="1:3" ht="0.1" customHeight="1" x14ac:dyDescent="0.45">
      <c r="A53" s="16" t="s">
        <v>357</v>
      </c>
      <c r="B53" s="16">
        <f>'Retirement Goals &amp; 40-Year Plan'!G10</f>
        <v>2030</v>
      </c>
      <c r="C53" s="16" t="s">
        <v>358</v>
      </c>
    </row>
    <row r="54" spans="1:3" x14ac:dyDescent="0.45">
      <c r="A54" s="16" t="s">
        <v>359</v>
      </c>
      <c r="B54" s="71">
        <f>'Retirement Goals &amp; 40-Year Plan'!G11</f>
        <v>0</v>
      </c>
      <c r="C54" s="16" t="str">
        <f>IF(B54&gt;='Retirement Goals &amp; 40-Year Plan'!B18,"Goal achieved","Below stated capital goal")</f>
        <v>Below stated capital goal</v>
      </c>
    </row>
    <row r="55" spans="1:3" ht="1.25" customHeight="1" x14ac:dyDescent="0.45">
      <c r="A55" s="31"/>
      <c r="B55" s="31"/>
      <c r="C55" s="31"/>
    </row>
    <row r="56" spans="1:3" ht="0.85" customHeight="1" x14ac:dyDescent="0.45">
      <c r="A56" s="16" t="s">
        <v>360</v>
      </c>
      <c r="B56" s="16"/>
      <c r="C56" s="16" t="s">
        <v>361</v>
      </c>
    </row>
    <row r="57" spans="1:3" ht="0.95" customHeight="1" x14ac:dyDescent="0.45">
      <c r="A57" s="32" t="s">
        <v>360</v>
      </c>
      <c r="B57" s="32"/>
      <c r="C57" s="32" t="s">
        <v>362</v>
      </c>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2"/>
  <sheetViews>
    <sheetView workbookViewId="0">
      <selection sqref="A1:M1"/>
    </sheetView>
  </sheetViews>
  <sheetFormatPr defaultRowHeight="14.25" x14ac:dyDescent="0.45"/>
  <cols>
    <col min="1" max="1" width="30" customWidth="1"/>
    <col min="2" max="2" width="14" customWidth="1"/>
    <col min="3" max="3" width="38" customWidth="1"/>
    <col min="4" max="4" width="22" customWidth="1"/>
    <col min="5" max="5" width="12.06640625" customWidth="1"/>
    <col min="6" max="6" width="36" customWidth="1"/>
    <col min="7" max="7" width="18" customWidth="1"/>
    <col min="8" max="8" width="12" customWidth="1"/>
    <col min="9" max="9" width="29" customWidth="1"/>
    <col min="10" max="10" width="18" customWidth="1"/>
    <col min="11" max="11" width="24" customWidth="1"/>
    <col min="12" max="12" width="30" customWidth="1"/>
    <col min="13" max="13" width="22" customWidth="1"/>
  </cols>
  <sheetData>
    <row r="1" spans="1:13" ht="0.5" customHeight="1" x14ac:dyDescent="0.45">
      <c r="A1" s="98" t="s">
        <v>363</v>
      </c>
      <c r="B1" s="87"/>
      <c r="C1" s="87"/>
      <c r="D1" s="87"/>
      <c r="E1" s="87"/>
      <c r="F1" s="87"/>
      <c r="G1" s="87"/>
      <c r="H1" s="87"/>
      <c r="I1" s="87"/>
      <c r="J1" s="87"/>
      <c r="K1" s="87"/>
      <c r="L1" s="87"/>
      <c r="M1" s="87"/>
    </row>
    <row r="2" spans="1:13" ht="0.4" customHeight="1" x14ac:dyDescent="0.45">
      <c r="A2" s="103" t="s">
        <v>364</v>
      </c>
      <c r="B2" s="87"/>
      <c r="C2" s="87"/>
      <c r="D2" s="87"/>
      <c r="E2" s="87"/>
      <c r="F2" s="87"/>
      <c r="G2" s="87"/>
      <c r="H2" s="87"/>
      <c r="I2" s="87"/>
      <c r="J2" s="87"/>
      <c r="K2" s="87"/>
      <c r="L2" s="87"/>
      <c r="M2" s="87"/>
    </row>
    <row r="3" spans="1:13" ht="28.35" customHeight="1" x14ac:dyDescent="0.45"/>
    <row r="4" spans="1:13" ht="27.2" customHeight="1" x14ac:dyDescent="0.45">
      <c r="A4" s="100" t="s">
        <v>365</v>
      </c>
      <c r="B4" s="87"/>
      <c r="C4" s="87"/>
      <c r="D4" s="87"/>
      <c r="F4" s="81" t="s">
        <v>366</v>
      </c>
      <c r="I4" s="82" t="s">
        <v>367</v>
      </c>
      <c r="J4" s="82"/>
      <c r="K4" s="82"/>
      <c r="L4" s="82"/>
      <c r="M4" s="82"/>
    </row>
    <row r="5" spans="1:13" ht="27.2" customHeight="1" x14ac:dyDescent="0.45">
      <c r="A5" s="56" t="s">
        <v>368</v>
      </c>
      <c r="B5" s="58">
        <v>2025</v>
      </c>
      <c r="C5" s="57" t="s">
        <v>369</v>
      </c>
      <c r="D5" s="57" t="s">
        <v>370</v>
      </c>
      <c r="F5" s="56" t="s">
        <v>106</v>
      </c>
      <c r="G5" s="105">
        <f>ROUND(35*COUNTIF(G23:G62,"&gt;=0")/$B$6+25*MIN(1,MIN(K23:K62)/$B$19)+20*MIN(1,J62/$B$18)+10*IF($B$13=0,1,IF($B$14/$B$13&lt;=0.2,1,IF($B$14/$B$13&lt;=0.4,0.5,0)))+10*COUNTIF(J23:J62,"&gt;0")/$B$6,0)</f>
        <v>6</v>
      </c>
      <c r="H5" s="87"/>
      <c r="I5" s="87"/>
      <c r="J5" s="87"/>
      <c r="K5" s="83" t="s">
        <v>371</v>
      </c>
    </row>
    <row r="6" spans="1:13" ht="0.85" customHeight="1" x14ac:dyDescent="0.45">
      <c r="A6" s="56" t="s">
        <v>372</v>
      </c>
      <c r="B6" s="62">
        <v>40</v>
      </c>
      <c r="C6" s="57" t="s">
        <v>373</v>
      </c>
      <c r="D6" s="57" t="s">
        <v>374</v>
      </c>
      <c r="F6" s="56" t="s">
        <v>375</v>
      </c>
      <c r="G6" s="95" t="str">
        <f>IF(G5&gt;=90,"HIGH ALIGNMENT — goals supported under entered assumptions",IF(G5&gt;=75,"MODERATE ALIGNMENT — monitor and improve the plan",IF(G5&gt;=50,"SIGNIFICANT CHANGES RECOMMENDED","CURRENT DESIGN UNLIKELY TO MEET STATED GOALS")))</f>
        <v>CURRENT DESIGN UNLIKELY TO MEET STATED GOALS</v>
      </c>
      <c r="H6" s="87"/>
      <c r="I6" s="87"/>
      <c r="J6" s="87"/>
      <c r="K6" s="83" t="s">
        <v>376</v>
      </c>
    </row>
    <row r="7" spans="1:13" ht="0.75" customHeight="1" x14ac:dyDescent="0.45">
      <c r="A7" s="56" t="s">
        <v>377</v>
      </c>
      <c r="B7" s="63">
        <f>'Retirement Cash Flow'!B3</f>
        <v>81</v>
      </c>
      <c r="C7" s="57" t="s">
        <v>378</v>
      </c>
      <c r="D7" s="57" t="s">
        <v>379</v>
      </c>
      <c r="F7" s="56" t="s">
        <v>380</v>
      </c>
      <c r="G7" s="97" t="str">
        <f>IFERROR(INDEX(A23:A62,MATCH(TRUE,G23:G62&lt;0,0)),"None in projection")</f>
        <v>None in projection</v>
      </c>
      <c r="H7" s="87"/>
      <c r="I7" s="87"/>
      <c r="J7" s="87"/>
      <c r="K7" s="83" t="s">
        <v>376</v>
      </c>
    </row>
    <row r="8" spans="1:13" ht="0.5" customHeight="1" x14ac:dyDescent="0.45">
      <c r="A8" s="56" t="s">
        <v>381</v>
      </c>
      <c r="B8" s="59">
        <v>0.03</v>
      </c>
      <c r="C8" s="57" t="s">
        <v>382</v>
      </c>
      <c r="D8" s="57" t="s">
        <v>370</v>
      </c>
      <c r="F8" s="56" t="s">
        <v>383</v>
      </c>
      <c r="G8" s="97" t="str">
        <f>IFERROR(INDEX(A23:A62,MATCH(TRUE,K23:K62&lt;2,0)),"Not reached")</f>
        <v>Not reached</v>
      </c>
      <c r="H8" s="87"/>
      <c r="I8" s="87"/>
      <c r="J8" s="87"/>
      <c r="K8" s="83" t="s">
        <v>384</v>
      </c>
    </row>
    <row r="9" spans="1:13" ht="0.5" customHeight="1" x14ac:dyDescent="0.45">
      <c r="A9" s="56" t="s">
        <v>385</v>
      </c>
      <c r="B9" s="59">
        <v>0.05</v>
      </c>
      <c r="C9" s="57" t="s">
        <v>386</v>
      </c>
      <c r="D9" s="57" t="s">
        <v>370</v>
      </c>
      <c r="F9" s="56" t="s">
        <v>387</v>
      </c>
      <c r="G9" s="97" t="str">
        <f>IFERROR(INDEX(A23:A62,MATCH(TRUE,K23:K62&lt;0.5,0)),"Not reached")</f>
        <v>Not reached</v>
      </c>
      <c r="H9" s="87"/>
      <c r="I9" s="87"/>
      <c r="J9" s="87"/>
      <c r="K9" s="83" t="s">
        <v>384</v>
      </c>
    </row>
    <row r="10" spans="1:13" ht="32.65" customHeight="1" x14ac:dyDescent="0.45">
      <c r="A10" s="56" t="s">
        <v>388</v>
      </c>
      <c r="B10" s="59">
        <v>0.02</v>
      </c>
      <c r="C10" s="57" t="s">
        <v>389</v>
      </c>
      <c r="D10" s="57" t="s">
        <v>370</v>
      </c>
      <c r="F10" s="56" t="s">
        <v>390</v>
      </c>
      <c r="G10" s="97">
        <f>IFERROR(INDEX(A23:A62,MATCH(0,J23:J62,0)),"Not reached")</f>
        <v>2030</v>
      </c>
      <c r="H10" s="87"/>
      <c r="I10" s="87"/>
      <c r="J10" s="87"/>
      <c r="K10" s="83" t="s">
        <v>391</v>
      </c>
    </row>
    <row r="11" spans="1:13" ht="31.5" customHeight="1" x14ac:dyDescent="0.45">
      <c r="A11" s="56" t="s">
        <v>392</v>
      </c>
      <c r="B11" s="64">
        <f>'Cash Flow V8'!C18</f>
        <v>102500</v>
      </c>
      <c r="C11" s="57" t="s">
        <v>393</v>
      </c>
      <c r="D11" s="57" t="s">
        <v>379</v>
      </c>
      <c r="F11" s="56" t="s">
        <v>359</v>
      </c>
      <c r="G11" s="104">
        <f>J62</f>
        <v>0</v>
      </c>
      <c r="H11" s="87"/>
      <c r="I11" s="87"/>
      <c r="J11" s="87"/>
      <c r="K11" s="83" t="s">
        <v>394</v>
      </c>
    </row>
    <row r="12" spans="1:13" ht="0.5" customHeight="1" x14ac:dyDescent="0.45">
      <c r="A12" s="56" t="s">
        <v>395</v>
      </c>
      <c r="B12" s="64">
        <f>'Capital &amp; Net Worth'!B31</f>
        <v>150000</v>
      </c>
      <c r="C12" s="57" t="s">
        <v>396</v>
      </c>
      <c r="D12" s="57" t="s">
        <v>379</v>
      </c>
      <c r="F12" s="56" t="s">
        <v>397</v>
      </c>
      <c r="G12" s="101">
        <f>K62</f>
        <v>0</v>
      </c>
      <c r="H12" s="87"/>
      <c r="I12" s="87"/>
      <c r="J12" s="87"/>
    </row>
    <row r="13" spans="1:13" ht="0.5" customHeight="1" x14ac:dyDescent="0.45">
      <c r="A13" s="56" t="s">
        <v>398</v>
      </c>
      <c r="B13" s="64">
        <f>'Capital &amp; Net Worth'!B17</f>
        <v>820000</v>
      </c>
      <c r="C13" s="57" t="s">
        <v>396</v>
      </c>
      <c r="D13" s="57" t="s">
        <v>379</v>
      </c>
      <c r="F13" s="56" t="s">
        <v>399</v>
      </c>
      <c r="G13" s="96">
        <f>COUNTIF(G23:G62,"&gt;=0")</f>
        <v>0</v>
      </c>
      <c r="H13" s="87"/>
      <c r="I13" s="87"/>
      <c r="J13" s="87"/>
      <c r="K13" s="83" t="s">
        <v>400</v>
      </c>
    </row>
    <row r="14" spans="1:13" ht="0.5" customHeight="1" x14ac:dyDescent="0.45">
      <c r="A14" s="56" t="s">
        <v>401</v>
      </c>
      <c r="B14" s="64">
        <f>'Capital &amp; Net Worth'!B25</f>
        <v>200000</v>
      </c>
      <c r="C14" s="57" t="s">
        <v>396</v>
      </c>
      <c r="D14" s="57" t="s">
        <v>379</v>
      </c>
      <c r="F14" s="56" t="s">
        <v>402</v>
      </c>
      <c r="G14" s="96">
        <f>COUNTIF(J23:J62,"&gt;0")</f>
        <v>5</v>
      </c>
      <c r="H14" s="87"/>
      <c r="I14" s="87"/>
      <c r="J14" s="87"/>
      <c r="K14" s="83" t="s">
        <v>376</v>
      </c>
    </row>
    <row r="15" spans="1:13" ht="0.85" customHeight="1" x14ac:dyDescent="0.45">
      <c r="A15" s="56" t="s">
        <v>403</v>
      </c>
      <c r="B15" s="60">
        <v>131000</v>
      </c>
      <c r="C15" s="57" t="s">
        <v>404</v>
      </c>
      <c r="D15" s="57" t="s">
        <v>370</v>
      </c>
      <c r="I15" s="84" t="s">
        <v>405</v>
      </c>
      <c r="J15" s="85">
        <v>0</v>
      </c>
      <c r="K15" s="83" t="s">
        <v>376</v>
      </c>
    </row>
    <row r="16" spans="1:13" ht="12.2" customHeight="1" x14ac:dyDescent="0.45">
      <c r="A16" s="56" t="s">
        <v>406</v>
      </c>
      <c r="B16" s="60">
        <v>5000</v>
      </c>
      <c r="C16" s="57" t="s">
        <v>407</v>
      </c>
      <c r="D16" s="57" t="s">
        <v>370</v>
      </c>
      <c r="F16" s="102" t="s">
        <v>408</v>
      </c>
      <c r="G16" s="87"/>
      <c r="H16" s="87"/>
      <c r="I16" s="87"/>
      <c r="J16" s="87"/>
      <c r="K16" s="87"/>
      <c r="L16" s="87"/>
      <c r="M16" s="87"/>
    </row>
    <row r="17" spans="1:13" ht="33.200000000000003" customHeight="1" x14ac:dyDescent="0.45">
      <c r="A17" s="56" t="s">
        <v>409</v>
      </c>
      <c r="B17" s="60">
        <v>5000</v>
      </c>
      <c r="C17" s="57" t="s">
        <v>407</v>
      </c>
      <c r="D17" s="57" t="s">
        <v>370</v>
      </c>
      <c r="F17" s="18" t="s">
        <v>410</v>
      </c>
      <c r="G17" s="99" t="s">
        <v>411</v>
      </c>
      <c r="H17" s="87"/>
      <c r="I17" s="87"/>
      <c r="J17" s="87"/>
      <c r="K17" s="87"/>
      <c r="L17" s="87"/>
      <c r="M17" s="87"/>
    </row>
    <row r="18" spans="1:13" ht="47.45" customHeight="1" x14ac:dyDescent="0.45">
      <c r="A18" s="56" t="s">
        <v>412</v>
      </c>
      <c r="B18" s="60">
        <v>500000</v>
      </c>
      <c r="C18" s="57" t="s">
        <v>413</v>
      </c>
      <c r="D18" s="57" t="s">
        <v>370</v>
      </c>
      <c r="F18" s="18" t="s">
        <v>414</v>
      </c>
      <c r="G18" s="99" t="s">
        <v>415</v>
      </c>
      <c r="H18" s="87"/>
      <c r="I18" s="87"/>
      <c r="J18" s="87"/>
      <c r="K18" s="87"/>
      <c r="L18" s="87"/>
      <c r="M18" s="87"/>
    </row>
    <row r="19" spans="1:13" ht="0.95" customHeight="1" x14ac:dyDescent="0.45">
      <c r="A19" s="56" t="s">
        <v>416</v>
      </c>
      <c r="B19" s="61">
        <v>2</v>
      </c>
      <c r="C19" s="57" t="s">
        <v>417</v>
      </c>
      <c r="D19" s="57" t="s">
        <v>370</v>
      </c>
      <c r="F19" s="18" t="s">
        <v>418</v>
      </c>
      <c r="G19" s="99" t="s">
        <v>419</v>
      </c>
      <c r="H19" s="87"/>
      <c r="I19" s="87"/>
      <c r="J19" s="87"/>
      <c r="K19" s="87"/>
      <c r="L19" s="87"/>
      <c r="M19" s="87"/>
    </row>
    <row r="20" spans="1:13" ht="0.6" customHeight="1" x14ac:dyDescent="0.45">
      <c r="F20" s="18" t="s">
        <v>420</v>
      </c>
      <c r="G20" s="99" t="s">
        <v>421</v>
      </c>
      <c r="H20" s="87"/>
      <c r="I20" s="87"/>
      <c r="J20" s="87"/>
      <c r="K20" s="87"/>
      <c r="L20" s="87"/>
      <c r="M20" s="87"/>
    </row>
    <row r="21" spans="1:13" ht="40.700000000000003" customHeight="1" x14ac:dyDescent="0.45"/>
    <row r="22" spans="1:13" ht="1.1499999999999999" customHeight="1" x14ac:dyDescent="0.45">
      <c r="A22" s="65" t="s">
        <v>422</v>
      </c>
      <c r="B22" s="65" t="s">
        <v>423</v>
      </c>
      <c r="C22" s="65" t="s">
        <v>424</v>
      </c>
      <c r="D22" s="65" t="s">
        <v>425</v>
      </c>
      <c r="E22" s="65" t="s">
        <v>426</v>
      </c>
      <c r="F22" s="65" t="s">
        <v>99</v>
      </c>
      <c r="G22" s="65" t="s">
        <v>427</v>
      </c>
      <c r="H22" s="65" t="s">
        <v>428</v>
      </c>
      <c r="I22" s="65" t="s">
        <v>429</v>
      </c>
      <c r="J22" s="65" t="s">
        <v>359</v>
      </c>
      <c r="K22" s="65" t="s">
        <v>430</v>
      </c>
      <c r="L22" s="65" t="s">
        <v>431</v>
      </c>
      <c r="M22" s="65" t="s">
        <v>432</v>
      </c>
    </row>
    <row r="23" spans="1:13" x14ac:dyDescent="0.45">
      <c r="A23" s="67">
        <f>$B$5</f>
        <v>2025</v>
      </c>
      <c r="B23" s="67">
        <f>$B$7</f>
        <v>81</v>
      </c>
      <c r="C23" s="10">
        <f>$B$15</f>
        <v>131000</v>
      </c>
      <c r="D23" s="66"/>
      <c r="E23" s="10">
        <f t="shared" ref="E23:E62" si="0">IF(D23="",C23,D23)</f>
        <v>131000</v>
      </c>
      <c r="F23" s="10">
        <f>$B$11</f>
        <v>102500</v>
      </c>
      <c r="G23" s="10">
        <f t="shared" ref="G23:G62" si="1">F23-E23</f>
        <v>-28500</v>
      </c>
      <c r="H23" s="10">
        <f>$B$12</f>
        <v>150000</v>
      </c>
      <c r="I23" s="10">
        <f t="shared" ref="I23:I62" si="2">MAX(0,H23*$B$9)</f>
        <v>7500</v>
      </c>
      <c r="J23" s="10">
        <f t="shared" ref="J23:J62" si="3">MAX(0,H23+I23+G23)</f>
        <v>129000</v>
      </c>
      <c r="K23" s="68">
        <f t="shared" ref="K23:K62" si="4">IF(E23=0,"",J23/E23)</f>
        <v>0.98473282442748089</v>
      </c>
      <c r="L23" s="16" t="str">
        <f t="shared" ref="L23:L62" si="5">IF(J23&lt;=0,"CRITICAL — CAPITAL EXHAUSTED",IF(K23&lt;0.5,"CRITICAL — LESS THAN 6 MONTHS",IF(K23&lt;2,"WARNING — LESS THAN 2 YEARS",IF(G23&lt;0,"CAUTION — NEGATIVE CASH FLOW","ON TRACK"))))</f>
        <v>WARNING — LESS THAN 2 YEARS</v>
      </c>
      <c r="M23" s="16" t="str">
        <f t="shared" ref="M23:M62" si="6">IF(J23&lt;=0,"Goal not met",IF(G23&lt;0,"Capital funding deficit","Goal supported"))</f>
        <v>Capital funding deficit</v>
      </c>
    </row>
    <row r="24" spans="1:13" x14ac:dyDescent="0.45">
      <c r="A24" s="67">
        <f t="shared" ref="A24:A62" si="7">A23+1</f>
        <v>2026</v>
      </c>
      <c r="B24" s="67">
        <f t="shared" ref="B24:B62" si="8">B23+1</f>
        <v>82</v>
      </c>
      <c r="C24" s="10">
        <f t="shared" ref="C24:C62" si="9">C23*(1+$B$8)</f>
        <v>134930</v>
      </c>
      <c r="D24" s="66"/>
      <c r="E24" s="10">
        <f t="shared" si="0"/>
        <v>134930</v>
      </c>
      <c r="F24" s="10">
        <f t="shared" ref="F24:F62" si="10">F23*(1+$B$10)</f>
        <v>104550</v>
      </c>
      <c r="G24" s="10">
        <f t="shared" si="1"/>
        <v>-30380</v>
      </c>
      <c r="H24" s="10">
        <f t="shared" ref="H24:H62" si="11">J23</f>
        <v>129000</v>
      </c>
      <c r="I24" s="10">
        <f t="shared" si="2"/>
        <v>6450</v>
      </c>
      <c r="J24" s="10">
        <f t="shared" si="3"/>
        <v>105070</v>
      </c>
      <c r="K24" s="68">
        <f t="shared" si="4"/>
        <v>0.77870006670125247</v>
      </c>
      <c r="L24" s="16" t="str">
        <f t="shared" si="5"/>
        <v>WARNING — LESS THAN 2 YEARS</v>
      </c>
      <c r="M24" s="16" t="str">
        <f t="shared" si="6"/>
        <v>Capital funding deficit</v>
      </c>
    </row>
    <row r="25" spans="1:13" x14ac:dyDescent="0.45">
      <c r="A25" s="67">
        <f t="shared" si="7"/>
        <v>2027</v>
      </c>
      <c r="B25" s="67">
        <f t="shared" si="8"/>
        <v>83</v>
      </c>
      <c r="C25" s="10">
        <f t="shared" si="9"/>
        <v>138977.9</v>
      </c>
      <c r="D25" s="66"/>
      <c r="E25" s="10">
        <f t="shared" si="0"/>
        <v>138977.9</v>
      </c>
      <c r="F25" s="10">
        <f t="shared" si="10"/>
        <v>106641</v>
      </c>
      <c r="G25" s="10">
        <f t="shared" si="1"/>
        <v>-32336.899999999994</v>
      </c>
      <c r="H25" s="10">
        <f t="shared" si="11"/>
        <v>105070</v>
      </c>
      <c r="I25" s="10">
        <f t="shared" si="2"/>
        <v>5253.5</v>
      </c>
      <c r="J25" s="10">
        <f t="shared" si="3"/>
        <v>77986.600000000006</v>
      </c>
      <c r="K25" s="68">
        <f t="shared" si="4"/>
        <v>0.56114389410114851</v>
      </c>
      <c r="L25" s="16" t="str">
        <f t="shared" si="5"/>
        <v>WARNING — LESS THAN 2 YEARS</v>
      </c>
      <c r="M25" s="16" t="str">
        <f t="shared" si="6"/>
        <v>Capital funding deficit</v>
      </c>
    </row>
    <row r="26" spans="1:13" x14ac:dyDescent="0.45">
      <c r="A26" s="67">
        <f t="shared" si="7"/>
        <v>2028</v>
      </c>
      <c r="B26" s="67">
        <f t="shared" si="8"/>
        <v>84</v>
      </c>
      <c r="C26" s="10">
        <f t="shared" si="9"/>
        <v>143147.23699999999</v>
      </c>
      <c r="D26" s="66"/>
      <c r="E26" s="10">
        <f t="shared" si="0"/>
        <v>143147.23699999999</v>
      </c>
      <c r="F26" s="10">
        <f t="shared" si="10"/>
        <v>108773.82</v>
      </c>
      <c r="G26" s="10">
        <f t="shared" si="1"/>
        <v>-34373.416999999987</v>
      </c>
      <c r="H26" s="10">
        <f t="shared" si="11"/>
        <v>77986.600000000006</v>
      </c>
      <c r="I26" s="10">
        <f t="shared" si="2"/>
        <v>3899.3300000000004</v>
      </c>
      <c r="J26" s="10">
        <f t="shared" si="3"/>
        <v>47512.513000000021</v>
      </c>
      <c r="K26" s="68">
        <f t="shared" si="4"/>
        <v>0.33191358768594342</v>
      </c>
      <c r="L26" s="16" t="str">
        <f t="shared" si="5"/>
        <v>CRITICAL — LESS THAN 6 MONTHS</v>
      </c>
      <c r="M26" s="16" t="str">
        <f t="shared" si="6"/>
        <v>Capital funding deficit</v>
      </c>
    </row>
    <row r="27" spans="1:13" x14ac:dyDescent="0.45">
      <c r="A27" s="67">
        <f t="shared" si="7"/>
        <v>2029</v>
      </c>
      <c r="B27" s="67">
        <f t="shared" si="8"/>
        <v>85</v>
      </c>
      <c r="C27" s="10">
        <f t="shared" si="9"/>
        <v>147441.65411</v>
      </c>
      <c r="D27" s="66"/>
      <c r="E27" s="10">
        <f t="shared" si="0"/>
        <v>147441.65411</v>
      </c>
      <c r="F27" s="10">
        <f t="shared" si="10"/>
        <v>110949.29640000001</v>
      </c>
      <c r="G27" s="10">
        <f t="shared" si="1"/>
        <v>-36492.357709999997</v>
      </c>
      <c r="H27" s="10">
        <f t="shared" si="11"/>
        <v>47512.513000000021</v>
      </c>
      <c r="I27" s="10">
        <f t="shared" si="2"/>
        <v>2375.6256500000013</v>
      </c>
      <c r="J27" s="10">
        <f t="shared" si="3"/>
        <v>13395.780940000026</v>
      </c>
      <c r="K27" s="68">
        <f t="shared" si="4"/>
        <v>9.0854792838976142E-2</v>
      </c>
      <c r="L27" s="16" t="str">
        <f t="shared" si="5"/>
        <v>CRITICAL — LESS THAN 6 MONTHS</v>
      </c>
      <c r="M27" s="16" t="str">
        <f t="shared" si="6"/>
        <v>Capital funding deficit</v>
      </c>
    </row>
    <row r="28" spans="1:13" x14ac:dyDescent="0.45">
      <c r="A28" s="67">
        <f t="shared" si="7"/>
        <v>2030</v>
      </c>
      <c r="B28" s="67">
        <f t="shared" si="8"/>
        <v>86</v>
      </c>
      <c r="C28" s="10">
        <f t="shared" si="9"/>
        <v>151864.90373330002</v>
      </c>
      <c r="D28" s="66"/>
      <c r="E28" s="10">
        <f t="shared" si="0"/>
        <v>151864.90373330002</v>
      </c>
      <c r="F28" s="10">
        <f t="shared" si="10"/>
        <v>113168.28232800002</v>
      </c>
      <c r="G28" s="10">
        <f t="shared" si="1"/>
        <v>-38696.6214053</v>
      </c>
      <c r="H28" s="10">
        <f t="shared" si="11"/>
        <v>13395.780940000026</v>
      </c>
      <c r="I28" s="10">
        <f t="shared" si="2"/>
        <v>669.78904700000135</v>
      </c>
      <c r="J28" s="10">
        <f t="shared" si="3"/>
        <v>0</v>
      </c>
      <c r="K28" s="68">
        <f t="shared" si="4"/>
        <v>0</v>
      </c>
      <c r="L28" s="16" t="str">
        <f t="shared" si="5"/>
        <v>CRITICAL — CAPITAL EXHAUSTED</v>
      </c>
      <c r="M28" s="16" t="str">
        <f t="shared" si="6"/>
        <v>Goal not met</v>
      </c>
    </row>
    <row r="29" spans="1:13" x14ac:dyDescent="0.45">
      <c r="A29" s="67">
        <f t="shared" si="7"/>
        <v>2031</v>
      </c>
      <c r="B29" s="67">
        <f t="shared" si="8"/>
        <v>87</v>
      </c>
      <c r="C29" s="10">
        <f t="shared" si="9"/>
        <v>156420.85084529902</v>
      </c>
      <c r="D29" s="66"/>
      <c r="E29" s="10">
        <f t="shared" si="0"/>
        <v>156420.85084529902</v>
      </c>
      <c r="F29" s="10">
        <f t="shared" si="10"/>
        <v>115431.64797456002</v>
      </c>
      <c r="G29" s="10">
        <f t="shared" si="1"/>
        <v>-40989.202870738998</v>
      </c>
      <c r="H29" s="10">
        <f t="shared" si="11"/>
        <v>0</v>
      </c>
      <c r="I29" s="10">
        <f t="shared" si="2"/>
        <v>0</v>
      </c>
      <c r="J29" s="10">
        <f t="shared" si="3"/>
        <v>0</v>
      </c>
      <c r="K29" s="68">
        <f t="shared" si="4"/>
        <v>0</v>
      </c>
      <c r="L29" s="16" t="str">
        <f t="shared" si="5"/>
        <v>CRITICAL — CAPITAL EXHAUSTED</v>
      </c>
      <c r="M29" s="16" t="str">
        <f t="shared" si="6"/>
        <v>Goal not met</v>
      </c>
    </row>
    <row r="30" spans="1:13" x14ac:dyDescent="0.45">
      <c r="A30" s="67">
        <f t="shared" si="7"/>
        <v>2032</v>
      </c>
      <c r="B30" s="67">
        <f t="shared" si="8"/>
        <v>88</v>
      </c>
      <c r="C30" s="10">
        <f t="shared" si="9"/>
        <v>161113.476370658</v>
      </c>
      <c r="D30" s="66"/>
      <c r="E30" s="10">
        <f t="shared" si="0"/>
        <v>161113.476370658</v>
      </c>
      <c r="F30" s="10">
        <f t="shared" si="10"/>
        <v>117740.28093405123</v>
      </c>
      <c r="G30" s="10">
        <f t="shared" si="1"/>
        <v>-43373.195436606766</v>
      </c>
      <c r="H30" s="10">
        <f t="shared" si="11"/>
        <v>0</v>
      </c>
      <c r="I30" s="10">
        <f t="shared" si="2"/>
        <v>0</v>
      </c>
      <c r="J30" s="10">
        <f t="shared" si="3"/>
        <v>0</v>
      </c>
      <c r="K30" s="68">
        <f t="shared" si="4"/>
        <v>0</v>
      </c>
      <c r="L30" s="16" t="str">
        <f t="shared" si="5"/>
        <v>CRITICAL — CAPITAL EXHAUSTED</v>
      </c>
      <c r="M30" s="16" t="str">
        <f t="shared" si="6"/>
        <v>Goal not met</v>
      </c>
    </row>
    <row r="31" spans="1:13" x14ac:dyDescent="0.45">
      <c r="A31" s="67">
        <f t="shared" si="7"/>
        <v>2033</v>
      </c>
      <c r="B31" s="67">
        <f t="shared" si="8"/>
        <v>89</v>
      </c>
      <c r="C31" s="10">
        <f t="shared" si="9"/>
        <v>165946.88066177774</v>
      </c>
      <c r="D31" s="66"/>
      <c r="E31" s="10">
        <f t="shared" si="0"/>
        <v>165946.88066177774</v>
      </c>
      <c r="F31" s="10">
        <f t="shared" si="10"/>
        <v>120095.08655273226</v>
      </c>
      <c r="G31" s="10">
        <f t="shared" si="1"/>
        <v>-45851.794109045484</v>
      </c>
      <c r="H31" s="10">
        <f t="shared" si="11"/>
        <v>0</v>
      </c>
      <c r="I31" s="10">
        <f t="shared" si="2"/>
        <v>0</v>
      </c>
      <c r="J31" s="10">
        <f t="shared" si="3"/>
        <v>0</v>
      </c>
      <c r="K31" s="68">
        <f t="shared" si="4"/>
        <v>0</v>
      </c>
      <c r="L31" s="16" t="str">
        <f t="shared" si="5"/>
        <v>CRITICAL — CAPITAL EXHAUSTED</v>
      </c>
      <c r="M31" s="16" t="str">
        <f t="shared" si="6"/>
        <v>Goal not met</v>
      </c>
    </row>
    <row r="32" spans="1:13" x14ac:dyDescent="0.45">
      <c r="A32" s="67">
        <f t="shared" si="7"/>
        <v>2034</v>
      </c>
      <c r="B32" s="67">
        <f t="shared" si="8"/>
        <v>90</v>
      </c>
      <c r="C32" s="10">
        <f t="shared" si="9"/>
        <v>170925.28708163108</v>
      </c>
      <c r="D32" s="66"/>
      <c r="E32" s="10">
        <f t="shared" si="0"/>
        <v>170925.28708163108</v>
      </c>
      <c r="F32" s="10">
        <f t="shared" si="10"/>
        <v>122496.98828378691</v>
      </c>
      <c r="G32" s="10">
        <f t="shared" si="1"/>
        <v>-48428.298797844167</v>
      </c>
      <c r="H32" s="10">
        <f t="shared" si="11"/>
        <v>0</v>
      </c>
      <c r="I32" s="10">
        <f t="shared" si="2"/>
        <v>0</v>
      </c>
      <c r="J32" s="10">
        <f t="shared" si="3"/>
        <v>0</v>
      </c>
      <c r="K32" s="68">
        <f t="shared" si="4"/>
        <v>0</v>
      </c>
      <c r="L32" s="16" t="str">
        <f t="shared" si="5"/>
        <v>CRITICAL — CAPITAL EXHAUSTED</v>
      </c>
      <c r="M32" s="16" t="str">
        <f t="shared" si="6"/>
        <v>Goal not met</v>
      </c>
    </row>
    <row r="33" spans="1:13" x14ac:dyDescent="0.45">
      <c r="A33" s="67">
        <f t="shared" si="7"/>
        <v>2035</v>
      </c>
      <c r="B33" s="67">
        <f t="shared" si="8"/>
        <v>91</v>
      </c>
      <c r="C33" s="10">
        <f t="shared" si="9"/>
        <v>176053.04569408001</v>
      </c>
      <c r="D33" s="66"/>
      <c r="E33" s="10">
        <f t="shared" si="0"/>
        <v>176053.04569408001</v>
      </c>
      <c r="F33" s="10">
        <f t="shared" si="10"/>
        <v>124946.92804946264</v>
      </c>
      <c r="G33" s="10">
        <f t="shared" si="1"/>
        <v>-51106.117644617363</v>
      </c>
      <c r="H33" s="10">
        <f t="shared" si="11"/>
        <v>0</v>
      </c>
      <c r="I33" s="10">
        <f t="shared" si="2"/>
        <v>0</v>
      </c>
      <c r="J33" s="10">
        <f t="shared" si="3"/>
        <v>0</v>
      </c>
      <c r="K33" s="68">
        <f t="shared" si="4"/>
        <v>0</v>
      </c>
      <c r="L33" s="16" t="str">
        <f t="shared" si="5"/>
        <v>CRITICAL — CAPITAL EXHAUSTED</v>
      </c>
      <c r="M33" s="16" t="str">
        <f t="shared" si="6"/>
        <v>Goal not met</v>
      </c>
    </row>
    <row r="34" spans="1:13" x14ac:dyDescent="0.45">
      <c r="A34" s="67">
        <f t="shared" si="7"/>
        <v>2036</v>
      </c>
      <c r="B34" s="67">
        <f t="shared" si="8"/>
        <v>92</v>
      </c>
      <c r="C34" s="10">
        <f t="shared" si="9"/>
        <v>181334.6370649024</v>
      </c>
      <c r="D34" s="66"/>
      <c r="E34" s="10">
        <f t="shared" si="0"/>
        <v>181334.6370649024</v>
      </c>
      <c r="F34" s="10">
        <f t="shared" si="10"/>
        <v>127445.86661045189</v>
      </c>
      <c r="G34" s="10">
        <f t="shared" si="1"/>
        <v>-53888.77045445051</v>
      </c>
      <c r="H34" s="10">
        <f t="shared" si="11"/>
        <v>0</v>
      </c>
      <c r="I34" s="10">
        <f t="shared" si="2"/>
        <v>0</v>
      </c>
      <c r="J34" s="10">
        <f t="shared" si="3"/>
        <v>0</v>
      </c>
      <c r="K34" s="68">
        <f t="shared" si="4"/>
        <v>0</v>
      </c>
      <c r="L34" s="16" t="str">
        <f t="shared" si="5"/>
        <v>CRITICAL — CAPITAL EXHAUSTED</v>
      </c>
      <c r="M34" s="16" t="str">
        <f t="shared" si="6"/>
        <v>Goal not met</v>
      </c>
    </row>
    <row r="35" spans="1:13" x14ac:dyDescent="0.45">
      <c r="A35" s="67">
        <f t="shared" si="7"/>
        <v>2037</v>
      </c>
      <c r="B35" s="67">
        <f t="shared" si="8"/>
        <v>93</v>
      </c>
      <c r="C35" s="10">
        <f t="shared" si="9"/>
        <v>186774.67617684949</v>
      </c>
      <c r="D35" s="66"/>
      <c r="E35" s="10">
        <f t="shared" si="0"/>
        <v>186774.67617684949</v>
      </c>
      <c r="F35" s="10">
        <f t="shared" si="10"/>
        <v>129994.78394266093</v>
      </c>
      <c r="G35" s="10">
        <f t="shared" si="1"/>
        <v>-56779.892234188563</v>
      </c>
      <c r="H35" s="10">
        <f t="shared" si="11"/>
        <v>0</v>
      </c>
      <c r="I35" s="10">
        <f t="shared" si="2"/>
        <v>0</v>
      </c>
      <c r="J35" s="10">
        <f t="shared" si="3"/>
        <v>0</v>
      </c>
      <c r="K35" s="68">
        <f t="shared" si="4"/>
        <v>0</v>
      </c>
      <c r="L35" s="16" t="str">
        <f t="shared" si="5"/>
        <v>CRITICAL — CAPITAL EXHAUSTED</v>
      </c>
      <c r="M35" s="16" t="str">
        <f t="shared" si="6"/>
        <v>Goal not met</v>
      </c>
    </row>
    <row r="36" spans="1:13" x14ac:dyDescent="0.45">
      <c r="A36" s="67">
        <f t="shared" si="7"/>
        <v>2038</v>
      </c>
      <c r="B36" s="67">
        <f t="shared" si="8"/>
        <v>94</v>
      </c>
      <c r="C36" s="10">
        <f t="shared" si="9"/>
        <v>192377.91646215497</v>
      </c>
      <c r="D36" s="66"/>
      <c r="E36" s="10">
        <f t="shared" si="0"/>
        <v>192377.91646215497</v>
      </c>
      <c r="F36" s="10">
        <f t="shared" si="10"/>
        <v>132594.67962151414</v>
      </c>
      <c r="G36" s="10">
        <f t="shared" si="1"/>
        <v>-59783.236840640835</v>
      </c>
      <c r="H36" s="10">
        <f t="shared" si="11"/>
        <v>0</v>
      </c>
      <c r="I36" s="10">
        <f t="shared" si="2"/>
        <v>0</v>
      </c>
      <c r="J36" s="10">
        <f t="shared" si="3"/>
        <v>0</v>
      </c>
      <c r="K36" s="68">
        <f t="shared" si="4"/>
        <v>0</v>
      </c>
      <c r="L36" s="16" t="str">
        <f t="shared" si="5"/>
        <v>CRITICAL — CAPITAL EXHAUSTED</v>
      </c>
      <c r="M36" s="16" t="str">
        <f t="shared" si="6"/>
        <v>Goal not met</v>
      </c>
    </row>
    <row r="37" spans="1:13" x14ac:dyDescent="0.45">
      <c r="A37" s="67">
        <f t="shared" si="7"/>
        <v>2039</v>
      </c>
      <c r="B37" s="67">
        <f t="shared" si="8"/>
        <v>95</v>
      </c>
      <c r="C37" s="10">
        <f t="shared" si="9"/>
        <v>198149.25395601962</v>
      </c>
      <c r="D37" s="66"/>
      <c r="E37" s="10">
        <f t="shared" si="0"/>
        <v>198149.25395601962</v>
      </c>
      <c r="F37" s="10">
        <f t="shared" si="10"/>
        <v>135246.57321394442</v>
      </c>
      <c r="G37" s="10">
        <f t="shared" si="1"/>
        <v>-62902.680742075201</v>
      </c>
      <c r="H37" s="10">
        <f t="shared" si="11"/>
        <v>0</v>
      </c>
      <c r="I37" s="10">
        <f t="shared" si="2"/>
        <v>0</v>
      </c>
      <c r="J37" s="10">
        <f t="shared" si="3"/>
        <v>0</v>
      </c>
      <c r="K37" s="68">
        <f t="shared" si="4"/>
        <v>0</v>
      </c>
      <c r="L37" s="16" t="str">
        <f t="shared" si="5"/>
        <v>CRITICAL — CAPITAL EXHAUSTED</v>
      </c>
      <c r="M37" s="16" t="str">
        <f t="shared" si="6"/>
        <v>Goal not met</v>
      </c>
    </row>
    <row r="38" spans="1:13" x14ac:dyDescent="0.45">
      <c r="A38" s="67">
        <f t="shared" si="7"/>
        <v>2040</v>
      </c>
      <c r="B38" s="67">
        <f t="shared" si="8"/>
        <v>96</v>
      </c>
      <c r="C38" s="10">
        <f t="shared" si="9"/>
        <v>204093.73157470021</v>
      </c>
      <c r="D38" s="66"/>
      <c r="E38" s="10">
        <f t="shared" si="0"/>
        <v>204093.73157470021</v>
      </c>
      <c r="F38" s="10">
        <f t="shared" si="10"/>
        <v>137951.50467822331</v>
      </c>
      <c r="G38" s="10">
        <f t="shared" si="1"/>
        <v>-66142.226896476903</v>
      </c>
      <c r="H38" s="10">
        <f t="shared" si="11"/>
        <v>0</v>
      </c>
      <c r="I38" s="10">
        <f t="shared" si="2"/>
        <v>0</v>
      </c>
      <c r="J38" s="10">
        <f t="shared" si="3"/>
        <v>0</v>
      </c>
      <c r="K38" s="68">
        <f t="shared" si="4"/>
        <v>0</v>
      </c>
      <c r="L38" s="16" t="str">
        <f t="shared" si="5"/>
        <v>CRITICAL — CAPITAL EXHAUSTED</v>
      </c>
      <c r="M38" s="16" t="str">
        <f t="shared" si="6"/>
        <v>Goal not met</v>
      </c>
    </row>
    <row r="39" spans="1:13" x14ac:dyDescent="0.45">
      <c r="A39" s="67">
        <f t="shared" si="7"/>
        <v>2041</v>
      </c>
      <c r="B39" s="67">
        <f t="shared" si="8"/>
        <v>97</v>
      </c>
      <c r="C39" s="10">
        <f t="shared" si="9"/>
        <v>210216.54352194123</v>
      </c>
      <c r="D39" s="66"/>
      <c r="E39" s="10">
        <f t="shared" si="0"/>
        <v>210216.54352194123</v>
      </c>
      <c r="F39" s="10">
        <f t="shared" si="10"/>
        <v>140710.53477178779</v>
      </c>
      <c r="G39" s="10">
        <f t="shared" si="1"/>
        <v>-69506.008750153444</v>
      </c>
      <c r="H39" s="10">
        <f t="shared" si="11"/>
        <v>0</v>
      </c>
      <c r="I39" s="10">
        <f t="shared" si="2"/>
        <v>0</v>
      </c>
      <c r="J39" s="10">
        <f t="shared" si="3"/>
        <v>0</v>
      </c>
      <c r="K39" s="68">
        <f t="shared" si="4"/>
        <v>0</v>
      </c>
      <c r="L39" s="16" t="str">
        <f t="shared" si="5"/>
        <v>CRITICAL — CAPITAL EXHAUSTED</v>
      </c>
      <c r="M39" s="16" t="str">
        <f t="shared" si="6"/>
        <v>Goal not met</v>
      </c>
    </row>
    <row r="40" spans="1:13" x14ac:dyDescent="0.45">
      <c r="A40" s="67">
        <f t="shared" si="7"/>
        <v>2042</v>
      </c>
      <c r="B40" s="67">
        <f t="shared" si="8"/>
        <v>98</v>
      </c>
      <c r="C40" s="10">
        <f t="shared" si="9"/>
        <v>216523.03982759948</v>
      </c>
      <c r="D40" s="66"/>
      <c r="E40" s="10">
        <f t="shared" si="0"/>
        <v>216523.03982759948</v>
      </c>
      <c r="F40" s="10">
        <f t="shared" si="10"/>
        <v>143524.74546722355</v>
      </c>
      <c r="G40" s="10">
        <f t="shared" si="1"/>
        <v>-72998.294360375934</v>
      </c>
      <c r="H40" s="10">
        <f t="shared" si="11"/>
        <v>0</v>
      </c>
      <c r="I40" s="10">
        <f t="shared" si="2"/>
        <v>0</v>
      </c>
      <c r="J40" s="10">
        <f t="shared" si="3"/>
        <v>0</v>
      </c>
      <c r="K40" s="68">
        <f t="shared" si="4"/>
        <v>0</v>
      </c>
      <c r="L40" s="16" t="str">
        <f t="shared" si="5"/>
        <v>CRITICAL — CAPITAL EXHAUSTED</v>
      </c>
      <c r="M40" s="16" t="str">
        <f t="shared" si="6"/>
        <v>Goal not met</v>
      </c>
    </row>
    <row r="41" spans="1:13" x14ac:dyDescent="0.45">
      <c r="A41" s="67">
        <f t="shared" si="7"/>
        <v>2043</v>
      </c>
      <c r="B41" s="67">
        <f t="shared" si="8"/>
        <v>99</v>
      </c>
      <c r="C41" s="10">
        <f t="shared" si="9"/>
        <v>223018.73102242747</v>
      </c>
      <c r="D41" s="66"/>
      <c r="E41" s="10">
        <f t="shared" si="0"/>
        <v>223018.73102242747</v>
      </c>
      <c r="F41" s="10">
        <f t="shared" si="10"/>
        <v>146395.24037656802</v>
      </c>
      <c r="G41" s="10">
        <f t="shared" si="1"/>
        <v>-76623.490645859449</v>
      </c>
      <c r="H41" s="10">
        <f t="shared" si="11"/>
        <v>0</v>
      </c>
      <c r="I41" s="10">
        <f t="shared" si="2"/>
        <v>0</v>
      </c>
      <c r="J41" s="10">
        <f t="shared" si="3"/>
        <v>0</v>
      </c>
      <c r="K41" s="68">
        <f t="shared" si="4"/>
        <v>0</v>
      </c>
      <c r="L41" s="16" t="str">
        <f t="shared" si="5"/>
        <v>CRITICAL — CAPITAL EXHAUSTED</v>
      </c>
      <c r="M41" s="16" t="str">
        <f t="shared" si="6"/>
        <v>Goal not met</v>
      </c>
    </row>
    <row r="42" spans="1:13" x14ac:dyDescent="0.45">
      <c r="A42" s="67">
        <f t="shared" si="7"/>
        <v>2044</v>
      </c>
      <c r="B42" s="67">
        <f t="shared" si="8"/>
        <v>100</v>
      </c>
      <c r="C42" s="10">
        <f t="shared" si="9"/>
        <v>229709.29295310029</v>
      </c>
      <c r="D42" s="66"/>
      <c r="E42" s="10">
        <f t="shared" si="0"/>
        <v>229709.29295310029</v>
      </c>
      <c r="F42" s="10">
        <f t="shared" si="10"/>
        <v>149323.14518409938</v>
      </c>
      <c r="G42" s="10">
        <f t="shared" si="1"/>
        <v>-80386.147769000905</v>
      </c>
      <c r="H42" s="10">
        <f t="shared" si="11"/>
        <v>0</v>
      </c>
      <c r="I42" s="10">
        <f t="shared" si="2"/>
        <v>0</v>
      </c>
      <c r="J42" s="10">
        <f t="shared" si="3"/>
        <v>0</v>
      </c>
      <c r="K42" s="68">
        <f t="shared" si="4"/>
        <v>0</v>
      </c>
      <c r="L42" s="16" t="str">
        <f t="shared" si="5"/>
        <v>CRITICAL — CAPITAL EXHAUSTED</v>
      </c>
      <c r="M42" s="16" t="str">
        <f t="shared" si="6"/>
        <v>Goal not met</v>
      </c>
    </row>
    <row r="43" spans="1:13" x14ac:dyDescent="0.45">
      <c r="A43" s="67">
        <f t="shared" si="7"/>
        <v>2045</v>
      </c>
      <c r="B43" s="67">
        <f t="shared" si="8"/>
        <v>101</v>
      </c>
      <c r="C43" s="10">
        <f t="shared" si="9"/>
        <v>236600.5717416933</v>
      </c>
      <c r="D43" s="66"/>
      <c r="E43" s="10">
        <f t="shared" si="0"/>
        <v>236600.5717416933</v>
      </c>
      <c r="F43" s="10">
        <f t="shared" si="10"/>
        <v>152309.60808778138</v>
      </c>
      <c r="G43" s="10">
        <f t="shared" si="1"/>
        <v>-84290.963653911924</v>
      </c>
      <c r="H43" s="10">
        <f t="shared" si="11"/>
        <v>0</v>
      </c>
      <c r="I43" s="10">
        <f t="shared" si="2"/>
        <v>0</v>
      </c>
      <c r="J43" s="10">
        <f t="shared" si="3"/>
        <v>0</v>
      </c>
      <c r="K43" s="68">
        <f t="shared" si="4"/>
        <v>0</v>
      </c>
      <c r="L43" s="16" t="str">
        <f t="shared" si="5"/>
        <v>CRITICAL — CAPITAL EXHAUSTED</v>
      </c>
      <c r="M43" s="16" t="str">
        <f t="shared" si="6"/>
        <v>Goal not met</v>
      </c>
    </row>
    <row r="44" spans="1:13" x14ac:dyDescent="0.45">
      <c r="A44" s="67">
        <f t="shared" si="7"/>
        <v>2046</v>
      </c>
      <c r="B44" s="67">
        <f t="shared" si="8"/>
        <v>102</v>
      </c>
      <c r="C44" s="10">
        <f t="shared" si="9"/>
        <v>243698.58889394411</v>
      </c>
      <c r="D44" s="66"/>
      <c r="E44" s="10">
        <f t="shared" si="0"/>
        <v>243698.58889394411</v>
      </c>
      <c r="F44" s="10">
        <f t="shared" si="10"/>
        <v>155355.80024953702</v>
      </c>
      <c r="G44" s="10">
        <f t="shared" si="1"/>
        <v>-88342.78864440709</v>
      </c>
      <c r="H44" s="10">
        <f t="shared" si="11"/>
        <v>0</v>
      </c>
      <c r="I44" s="10">
        <f t="shared" si="2"/>
        <v>0</v>
      </c>
      <c r="J44" s="10">
        <f t="shared" si="3"/>
        <v>0</v>
      </c>
      <c r="K44" s="68">
        <f t="shared" si="4"/>
        <v>0</v>
      </c>
      <c r="L44" s="16" t="str">
        <f t="shared" si="5"/>
        <v>CRITICAL — CAPITAL EXHAUSTED</v>
      </c>
      <c r="M44" s="16" t="str">
        <f t="shared" si="6"/>
        <v>Goal not met</v>
      </c>
    </row>
    <row r="45" spans="1:13" x14ac:dyDescent="0.45">
      <c r="A45" s="67">
        <f t="shared" si="7"/>
        <v>2047</v>
      </c>
      <c r="B45" s="67">
        <f t="shared" si="8"/>
        <v>103</v>
      </c>
      <c r="C45" s="10">
        <f t="shared" si="9"/>
        <v>251009.54656076245</v>
      </c>
      <c r="D45" s="66"/>
      <c r="E45" s="10">
        <f t="shared" si="0"/>
        <v>251009.54656076245</v>
      </c>
      <c r="F45" s="10">
        <f t="shared" si="10"/>
        <v>158462.91625452775</v>
      </c>
      <c r="G45" s="10">
        <f t="shared" si="1"/>
        <v>-92546.6303062347</v>
      </c>
      <c r="H45" s="10">
        <f t="shared" si="11"/>
        <v>0</v>
      </c>
      <c r="I45" s="10">
        <f t="shared" si="2"/>
        <v>0</v>
      </c>
      <c r="J45" s="10">
        <f t="shared" si="3"/>
        <v>0</v>
      </c>
      <c r="K45" s="68">
        <f t="shared" si="4"/>
        <v>0</v>
      </c>
      <c r="L45" s="16" t="str">
        <f t="shared" si="5"/>
        <v>CRITICAL — CAPITAL EXHAUSTED</v>
      </c>
      <c r="M45" s="16" t="str">
        <f t="shared" si="6"/>
        <v>Goal not met</v>
      </c>
    </row>
    <row r="46" spans="1:13" x14ac:dyDescent="0.45">
      <c r="A46" s="67">
        <f t="shared" si="7"/>
        <v>2048</v>
      </c>
      <c r="B46" s="67">
        <f t="shared" si="8"/>
        <v>104</v>
      </c>
      <c r="C46" s="10">
        <f t="shared" si="9"/>
        <v>258539.83295758534</v>
      </c>
      <c r="D46" s="66"/>
      <c r="E46" s="10">
        <f t="shared" si="0"/>
        <v>258539.83295758534</v>
      </c>
      <c r="F46" s="10">
        <f t="shared" si="10"/>
        <v>161632.17457961829</v>
      </c>
      <c r="G46" s="10">
        <f t="shared" si="1"/>
        <v>-96907.658377967047</v>
      </c>
      <c r="H46" s="10">
        <f t="shared" si="11"/>
        <v>0</v>
      </c>
      <c r="I46" s="10">
        <f t="shared" si="2"/>
        <v>0</v>
      </c>
      <c r="J46" s="10">
        <f t="shared" si="3"/>
        <v>0</v>
      </c>
      <c r="K46" s="68">
        <f t="shared" si="4"/>
        <v>0</v>
      </c>
      <c r="L46" s="16" t="str">
        <f t="shared" si="5"/>
        <v>CRITICAL — CAPITAL EXHAUSTED</v>
      </c>
      <c r="M46" s="16" t="str">
        <f t="shared" si="6"/>
        <v>Goal not met</v>
      </c>
    </row>
    <row r="47" spans="1:13" x14ac:dyDescent="0.45">
      <c r="A47" s="67">
        <f t="shared" si="7"/>
        <v>2049</v>
      </c>
      <c r="B47" s="67">
        <f t="shared" si="8"/>
        <v>105</v>
      </c>
      <c r="C47" s="10">
        <f t="shared" si="9"/>
        <v>266296.02794631291</v>
      </c>
      <c r="D47" s="66"/>
      <c r="E47" s="10">
        <f t="shared" si="0"/>
        <v>266296.02794631291</v>
      </c>
      <c r="F47" s="10">
        <f t="shared" si="10"/>
        <v>164864.81807121067</v>
      </c>
      <c r="G47" s="10">
        <f t="shared" si="1"/>
        <v>-101431.20987510224</v>
      </c>
      <c r="H47" s="10">
        <f t="shared" si="11"/>
        <v>0</v>
      </c>
      <c r="I47" s="10">
        <f t="shared" si="2"/>
        <v>0</v>
      </c>
      <c r="J47" s="10">
        <f t="shared" si="3"/>
        <v>0</v>
      </c>
      <c r="K47" s="68">
        <f t="shared" si="4"/>
        <v>0</v>
      </c>
      <c r="L47" s="16" t="str">
        <f t="shared" si="5"/>
        <v>CRITICAL — CAPITAL EXHAUSTED</v>
      </c>
      <c r="M47" s="16" t="str">
        <f t="shared" si="6"/>
        <v>Goal not met</v>
      </c>
    </row>
    <row r="48" spans="1:13" x14ac:dyDescent="0.45">
      <c r="A48" s="67">
        <f t="shared" si="7"/>
        <v>2050</v>
      </c>
      <c r="B48" s="67">
        <f t="shared" si="8"/>
        <v>106</v>
      </c>
      <c r="C48" s="10">
        <f t="shared" si="9"/>
        <v>274284.9087847023</v>
      </c>
      <c r="D48" s="66"/>
      <c r="E48" s="10">
        <f t="shared" si="0"/>
        <v>274284.9087847023</v>
      </c>
      <c r="F48" s="10">
        <f t="shared" si="10"/>
        <v>168162.11443263487</v>
      </c>
      <c r="G48" s="10">
        <f t="shared" si="1"/>
        <v>-106122.79435206743</v>
      </c>
      <c r="H48" s="10">
        <f t="shared" si="11"/>
        <v>0</v>
      </c>
      <c r="I48" s="10">
        <f t="shared" si="2"/>
        <v>0</v>
      </c>
      <c r="J48" s="10">
        <f t="shared" si="3"/>
        <v>0</v>
      </c>
      <c r="K48" s="68">
        <f t="shared" si="4"/>
        <v>0</v>
      </c>
      <c r="L48" s="16" t="str">
        <f t="shared" si="5"/>
        <v>CRITICAL — CAPITAL EXHAUSTED</v>
      </c>
      <c r="M48" s="16" t="str">
        <f t="shared" si="6"/>
        <v>Goal not met</v>
      </c>
    </row>
    <row r="49" spans="1:13" x14ac:dyDescent="0.45">
      <c r="A49" s="67">
        <f t="shared" si="7"/>
        <v>2051</v>
      </c>
      <c r="B49" s="67">
        <f t="shared" si="8"/>
        <v>107</v>
      </c>
      <c r="C49" s="10">
        <f t="shared" si="9"/>
        <v>282513.45604824339</v>
      </c>
      <c r="D49" s="66"/>
      <c r="E49" s="10">
        <f t="shared" si="0"/>
        <v>282513.45604824339</v>
      </c>
      <c r="F49" s="10">
        <f t="shared" si="10"/>
        <v>171525.35672128756</v>
      </c>
      <c r="G49" s="10">
        <f t="shared" si="1"/>
        <v>-110988.09932695582</v>
      </c>
      <c r="H49" s="10">
        <f t="shared" si="11"/>
        <v>0</v>
      </c>
      <c r="I49" s="10">
        <f t="shared" si="2"/>
        <v>0</v>
      </c>
      <c r="J49" s="10">
        <f t="shared" si="3"/>
        <v>0</v>
      </c>
      <c r="K49" s="68">
        <f t="shared" si="4"/>
        <v>0</v>
      </c>
      <c r="L49" s="16" t="str">
        <f t="shared" si="5"/>
        <v>CRITICAL — CAPITAL EXHAUSTED</v>
      </c>
      <c r="M49" s="16" t="str">
        <f t="shared" si="6"/>
        <v>Goal not met</v>
      </c>
    </row>
    <row r="50" spans="1:13" x14ac:dyDescent="0.45">
      <c r="A50" s="67">
        <f t="shared" si="7"/>
        <v>2052</v>
      </c>
      <c r="B50" s="67">
        <f t="shared" si="8"/>
        <v>108</v>
      </c>
      <c r="C50" s="10">
        <f t="shared" si="9"/>
        <v>290988.85972969071</v>
      </c>
      <c r="D50" s="66"/>
      <c r="E50" s="10">
        <f t="shared" si="0"/>
        <v>290988.85972969071</v>
      </c>
      <c r="F50" s="10">
        <f t="shared" si="10"/>
        <v>174955.86385571331</v>
      </c>
      <c r="G50" s="10">
        <f t="shared" si="1"/>
        <v>-116032.9958739774</v>
      </c>
      <c r="H50" s="10">
        <f t="shared" si="11"/>
        <v>0</v>
      </c>
      <c r="I50" s="10">
        <f t="shared" si="2"/>
        <v>0</v>
      </c>
      <c r="J50" s="10">
        <f t="shared" si="3"/>
        <v>0</v>
      </c>
      <c r="K50" s="68">
        <f t="shared" si="4"/>
        <v>0</v>
      </c>
      <c r="L50" s="16" t="str">
        <f t="shared" si="5"/>
        <v>CRITICAL — CAPITAL EXHAUSTED</v>
      </c>
      <c r="M50" s="16" t="str">
        <f t="shared" si="6"/>
        <v>Goal not met</v>
      </c>
    </row>
    <row r="51" spans="1:13" x14ac:dyDescent="0.45">
      <c r="A51" s="67">
        <f t="shared" si="7"/>
        <v>2053</v>
      </c>
      <c r="B51" s="67">
        <f t="shared" si="8"/>
        <v>109</v>
      </c>
      <c r="C51" s="10">
        <f t="shared" si="9"/>
        <v>299718.52552158141</v>
      </c>
      <c r="D51" s="66"/>
      <c r="E51" s="10">
        <f t="shared" si="0"/>
        <v>299718.52552158141</v>
      </c>
      <c r="F51" s="10">
        <f t="shared" si="10"/>
        <v>178454.98113282758</v>
      </c>
      <c r="G51" s="10">
        <f t="shared" si="1"/>
        <v>-121263.54438875383</v>
      </c>
      <c r="H51" s="10">
        <f t="shared" si="11"/>
        <v>0</v>
      </c>
      <c r="I51" s="10">
        <f t="shared" si="2"/>
        <v>0</v>
      </c>
      <c r="J51" s="10">
        <f t="shared" si="3"/>
        <v>0</v>
      </c>
      <c r="K51" s="68">
        <f t="shared" si="4"/>
        <v>0</v>
      </c>
      <c r="L51" s="16" t="str">
        <f t="shared" si="5"/>
        <v>CRITICAL — CAPITAL EXHAUSTED</v>
      </c>
      <c r="M51" s="16" t="str">
        <f t="shared" si="6"/>
        <v>Goal not met</v>
      </c>
    </row>
    <row r="52" spans="1:13" x14ac:dyDescent="0.45">
      <c r="A52" s="67">
        <f t="shared" si="7"/>
        <v>2054</v>
      </c>
      <c r="B52" s="67">
        <f t="shared" si="8"/>
        <v>110</v>
      </c>
      <c r="C52" s="10">
        <f t="shared" si="9"/>
        <v>308710.08128722885</v>
      </c>
      <c r="D52" s="66"/>
      <c r="E52" s="10">
        <f t="shared" si="0"/>
        <v>308710.08128722885</v>
      </c>
      <c r="F52" s="10">
        <f t="shared" si="10"/>
        <v>182024.08075548414</v>
      </c>
      <c r="G52" s="10">
        <f t="shared" si="1"/>
        <v>-126686.00053174471</v>
      </c>
      <c r="H52" s="10">
        <f t="shared" si="11"/>
        <v>0</v>
      </c>
      <c r="I52" s="10">
        <f t="shared" si="2"/>
        <v>0</v>
      </c>
      <c r="J52" s="10">
        <f t="shared" si="3"/>
        <v>0</v>
      </c>
      <c r="K52" s="68">
        <f t="shared" si="4"/>
        <v>0</v>
      </c>
      <c r="L52" s="16" t="str">
        <f t="shared" si="5"/>
        <v>CRITICAL — CAPITAL EXHAUSTED</v>
      </c>
      <c r="M52" s="16" t="str">
        <f t="shared" si="6"/>
        <v>Goal not met</v>
      </c>
    </row>
    <row r="53" spans="1:13" x14ac:dyDescent="0.45">
      <c r="A53" s="67">
        <f t="shared" si="7"/>
        <v>2055</v>
      </c>
      <c r="B53" s="67">
        <f t="shared" si="8"/>
        <v>111</v>
      </c>
      <c r="C53" s="10">
        <f t="shared" si="9"/>
        <v>317971.38372584572</v>
      </c>
      <c r="D53" s="66"/>
      <c r="E53" s="10">
        <f t="shared" si="0"/>
        <v>317971.38372584572</v>
      </c>
      <c r="F53" s="10">
        <f t="shared" si="10"/>
        <v>185664.56237059383</v>
      </c>
      <c r="G53" s="10">
        <f t="shared" si="1"/>
        <v>-132306.82135525189</v>
      </c>
      <c r="H53" s="10">
        <f t="shared" si="11"/>
        <v>0</v>
      </c>
      <c r="I53" s="10">
        <f t="shared" si="2"/>
        <v>0</v>
      </c>
      <c r="J53" s="10">
        <f t="shared" si="3"/>
        <v>0</v>
      </c>
      <c r="K53" s="68">
        <f t="shared" si="4"/>
        <v>0</v>
      </c>
      <c r="L53" s="16" t="str">
        <f t="shared" si="5"/>
        <v>CRITICAL — CAPITAL EXHAUSTED</v>
      </c>
      <c r="M53" s="16" t="str">
        <f t="shared" si="6"/>
        <v>Goal not met</v>
      </c>
    </row>
    <row r="54" spans="1:13" x14ac:dyDescent="0.45">
      <c r="A54" s="67">
        <f t="shared" si="7"/>
        <v>2056</v>
      </c>
      <c r="B54" s="67">
        <f t="shared" si="8"/>
        <v>112</v>
      </c>
      <c r="C54" s="10">
        <f t="shared" si="9"/>
        <v>327510.5252376211</v>
      </c>
      <c r="D54" s="66"/>
      <c r="E54" s="10">
        <f t="shared" si="0"/>
        <v>327510.5252376211</v>
      </c>
      <c r="F54" s="10">
        <f t="shared" si="10"/>
        <v>189377.85361800573</v>
      </c>
      <c r="G54" s="10">
        <f t="shared" si="1"/>
        <v>-138132.67161961537</v>
      </c>
      <c r="H54" s="10">
        <f t="shared" si="11"/>
        <v>0</v>
      </c>
      <c r="I54" s="10">
        <f t="shared" si="2"/>
        <v>0</v>
      </c>
      <c r="J54" s="10">
        <f t="shared" si="3"/>
        <v>0</v>
      </c>
      <c r="K54" s="68">
        <f t="shared" si="4"/>
        <v>0</v>
      </c>
      <c r="L54" s="16" t="str">
        <f t="shared" si="5"/>
        <v>CRITICAL — CAPITAL EXHAUSTED</v>
      </c>
      <c r="M54" s="16" t="str">
        <f t="shared" si="6"/>
        <v>Goal not met</v>
      </c>
    </row>
    <row r="55" spans="1:13" x14ac:dyDescent="0.45">
      <c r="A55" s="67">
        <f t="shared" si="7"/>
        <v>2057</v>
      </c>
      <c r="B55" s="67">
        <f t="shared" si="8"/>
        <v>113</v>
      </c>
      <c r="C55" s="10">
        <f t="shared" si="9"/>
        <v>337335.84099474974</v>
      </c>
      <c r="D55" s="66"/>
      <c r="E55" s="10">
        <f t="shared" si="0"/>
        <v>337335.84099474974</v>
      </c>
      <c r="F55" s="10">
        <f t="shared" si="10"/>
        <v>193165.41069036585</v>
      </c>
      <c r="G55" s="10">
        <f t="shared" si="1"/>
        <v>-144170.43030438389</v>
      </c>
      <c r="H55" s="10">
        <f t="shared" si="11"/>
        <v>0</v>
      </c>
      <c r="I55" s="10">
        <f t="shared" si="2"/>
        <v>0</v>
      </c>
      <c r="J55" s="10">
        <f t="shared" si="3"/>
        <v>0</v>
      </c>
      <c r="K55" s="68">
        <f t="shared" si="4"/>
        <v>0</v>
      </c>
      <c r="L55" s="16" t="str">
        <f t="shared" si="5"/>
        <v>CRITICAL — CAPITAL EXHAUSTED</v>
      </c>
      <c r="M55" s="16" t="str">
        <f t="shared" si="6"/>
        <v>Goal not met</v>
      </c>
    </row>
    <row r="56" spans="1:13" x14ac:dyDescent="0.45">
      <c r="A56" s="67">
        <f t="shared" si="7"/>
        <v>2058</v>
      </c>
      <c r="B56" s="67">
        <f t="shared" si="8"/>
        <v>114</v>
      </c>
      <c r="C56" s="10">
        <f t="shared" si="9"/>
        <v>347455.91622459225</v>
      </c>
      <c r="D56" s="66"/>
      <c r="E56" s="10">
        <f t="shared" si="0"/>
        <v>347455.91622459225</v>
      </c>
      <c r="F56" s="10">
        <f t="shared" si="10"/>
        <v>197028.71890417318</v>
      </c>
      <c r="G56" s="10">
        <f t="shared" si="1"/>
        <v>-150427.19732041907</v>
      </c>
      <c r="H56" s="10">
        <f t="shared" si="11"/>
        <v>0</v>
      </c>
      <c r="I56" s="10">
        <f t="shared" si="2"/>
        <v>0</v>
      </c>
      <c r="J56" s="10">
        <f t="shared" si="3"/>
        <v>0</v>
      </c>
      <c r="K56" s="68">
        <f t="shared" si="4"/>
        <v>0</v>
      </c>
      <c r="L56" s="16" t="str">
        <f t="shared" si="5"/>
        <v>CRITICAL — CAPITAL EXHAUSTED</v>
      </c>
      <c r="M56" s="16" t="str">
        <f t="shared" si="6"/>
        <v>Goal not met</v>
      </c>
    </row>
    <row r="57" spans="1:13" x14ac:dyDescent="0.45">
      <c r="A57" s="67">
        <f t="shared" si="7"/>
        <v>2059</v>
      </c>
      <c r="B57" s="67">
        <f t="shared" si="8"/>
        <v>115</v>
      </c>
      <c r="C57" s="10">
        <f t="shared" si="9"/>
        <v>357879.59371133003</v>
      </c>
      <c r="D57" s="66"/>
      <c r="E57" s="10">
        <f t="shared" si="0"/>
        <v>357879.59371133003</v>
      </c>
      <c r="F57" s="10">
        <f t="shared" si="10"/>
        <v>200969.29328225664</v>
      </c>
      <c r="G57" s="10">
        <f t="shared" si="1"/>
        <v>-156910.3004290734</v>
      </c>
      <c r="H57" s="10">
        <f t="shared" si="11"/>
        <v>0</v>
      </c>
      <c r="I57" s="10">
        <f t="shared" si="2"/>
        <v>0</v>
      </c>
      <c r="J57" s="10">
        <f t="shared" si="3"/>
        <v>0</v>
      </c>
      <c r="K57" s="68">
        <f t="shared" si="4"/>
        <v>0</v>
      </c>
      <c r="L57" s="16" t="str">
        <f t="shared" si="5"/>
        <v>CRITICAL — CAPITAL EXHAUSTED</v>
      </c>
      <c r="M57" s="16" t="str">
        <f t="shared" si="6"/>
        <v>Goal not met</v>
      </c>
    </row>
    <row r="58" spans="1:13" x14ac:dyDescent="0.45">
      <c r="A58" s="67">
        <f t="shared" si="7"/>
        <v>2060</v>
      </c>
      <c r="B58" s="67">
        <f t="shared" si="8"/>
        <v>116</v>
      </c>
      <c r="C58" s="10">
        <f t="shared" si="9"/>
        <v>368615.98152266996</v>
      </c>
      <c r="D58" s="66"/>
      <c r="E58" s="10">
        <f t="shared" si="0"/>
        <v>368615.98152266996</v>
      </c>
      <c r="F58" s="10">
        <f t="shared" si="10"/>
        <v>204988.67914790177</v>
      </c>
      <c r="G58" s="10">
        <f t="shared" si="1"/>
        <v>-163627.30237476819</v>
      </c>
      <c r="H58" s="10">
        <f t="shared" si="11"/>
        <v>0</v>
      </c>
      <c r="I58" s="10">
        <f t="shared" si="2"/>
        <v>0</v>
      </c>
      <c r="J58" s="10">
        <f t="shared" si="3"/>
        <v>0</v>
      </c>
      <c r="K58" s="68">
        <f t="shared" si="4"/>
        <v>0</v>
      </c>
      <c r="L58" s="16" t="str">
        <f t="shared" si="5"/>
        <v>CRITICAL — CAPITAL EXHAUSTED</v>
      </c>
      <c r="M58" s="16" t="str">
        <f t="shared" si="6"/>
        <v>Goal not met</v>
      </c>
    </row>
    <row r="59" spans="1:13" x14ac:dyDescent="0.45">
      <c r="A59" s="67">
        <f t="shared" si="7"/>
        <v>2061</v>
      </c>
      <c r="B59" s="67">
        <f t="shared" si="8"/>
        <v>117</v>
      </c>
      <c r="C59" s="10">
        <f t="shared" si="9"/>
        <v>379674.46096835006</v>
      </c>
      <c r="D59" s="66"/>
      <c r="E59" s="10">
        <f t="shared" si="0"/>
        <v>379674.46096835006</v>
      </c>
      <c r="F59" s="10">
        <f t="shared" si="10"/>
        <v>209088.4527308598</v>
      </c>
      <c r="G59" s="10">
        <f t="shared" si="1"/>
        <v>-170586.00823749026</v>
      </c>
      <c r="H59" s="10">
        <f t="shared" si="11"/>
        <v>0</v>
      </c>
      <c r="I59" s="10">
        <f t="shared" si="2"/>
        <v>0</v>
      </c>
      <c r="J59" s="10">
        <f t="shared" si="3"/>
        <v>0</v>
      </c>
      <c r="K59" s="68">
        <f t="shared" si="4"/>
        <v>0</v>
      </c>
      <c r="L59" s="16" t="str">
        <f t="shared" si="5"/>
        <v>CRITICAL — CAPITAL EXHAUSTED</v>
      </c>
      <c r="M59" s="16" t="str">
        <f t="shared" si="6"/>
        <v>Goal not met</v>
      </c>
    </row>
    <row r="60" spans="1:13" x14ac:dyDescent="0.45">
      <c r="A60" s="67">
        <f t="shared" si="7"/>
        <v>2062</v>
      </c>
      <c r="B60" s="67">
        <f t="shared" si="8"/>
        <v>118</v>
      </c>
      <c r="C60" s="10">
        <f t="shared" si="9"/>
        <v>391064.69479740056</v>
      </c>
      <c r="D60" s="66"/>
      <c r="E60" s="10">
        <f t="shared" si="0"/>
        <v>391064.69479740056</v>
      </c>
      <c r="F60" s="10">
        <f t="shared" si="10"/>
        <v>213270.22178547701</v>
      </c>
      <c r="G60" s="10">
        <f t="shared" si="1"/>
        <v>-177794.47301192355</v>
      </c>
      <c r="H60" s="10">
        <f t="shared" si="11"/>
        <v>0</v>
      </c>
      <c r="I60" s="10">
        <f t="shared" si="2"/>
        <v>0</v>
      </c>
      <c r="J60" s="10">
        <f t="shared" si="3"/>
        <v>0</v>
      </c>
      <c r="K60" s="68">
        <f t="shared" si="4"/>
        <v>0</v>
      </c>
      <c r="L60" s="16" t="str">
        <f t="shared" si="5"/>
        <v>CRITICAL — CAPITAL EXHAUSTED</v>
      </c>
      <c r="M60" s="16" t="str">
        <f t="shared" si="6"/>
        <v>Goal not met</v>
      </c>
    </row>
    <row r="61" spans="1:13" x14ac:dyDescent="0.45">
      <c r="A61" s="67">
        <f t="shared" si="7"/>
        <v>2063</v>
      </c>
      <c r="B61" s="67">
        <f t="shared" si="8"/>
        <v>119</v>
      </c>
      <c r="C61" s="10">
        <f t="shared" si="9"/>
        <v>402796.63564132259</v>
      </c>
      <c r="D61" s="66"/>
      <c r="E61" s="10">
        <f t="shared" si="0"/>
        <v>402796.63564132259</v>
      </c>
      <c r="F61" s="10">
        <f t="shared" si="10"/>
        <v>217535.62622118657</v>
      </c>
      <c r="G61" s="10">
        <f t="shared" si="1"/>
        <v>-185261.00942013602</v>
      </c>
      <c r="H61" s="10">
        <f t="shared" si="11"/>
        <v>0</v>
      </c>
      <c r="I61" s="10">
        <f t="shared" si="2"/>
        <v>0</v>
      </c>
      <c r="J61" s="10">
        <f t="shared" si="3"/>
        <v>0</v>
      </c>
      <c r="K61" s="68">
        <f t="shared" si="4"/>
        <v>0</v>
      </c>
      <c r="L61" s="16" t="str">
        <f t="shared" si="5"/>
        <v>CRITICAL — CAPITAL EXHAUSTED</v>
      </c>
      <c r="M61" s="16" t="str">
        <f t="shared" si="6"/>
        <v>Goal not met</v>
      </c>
    </row>
    <row r="62" spans="1:13" x14ac:dyDescent="0.45">
      <c r="A62" s="67">
        <f t="shared" si="7"/>
        <v>2064</v>
      </c>
      <c r="B62" s="67">
        <f t="shared" si="8"/>
        <v>120</v>
      </c>
      <c r="C62" s="10">
        <f t="shared" si="9"/>
        <v>414880.53471056226</v>
      </c>
      <c r="D62" s="66"/>
      <c r="E62" s="10">
        <f t="shared" si="0"/>
        <v>414880.53471056226</v>
      </c>
      <c r="F62" s="10">
        <f t="shared" si="10"/>
        <v>221886.33874561029</v>
      </c>
      <c r="G62" s="10">
        <f t="shared" si="1"/>
        <v>-192994.19596495197</v>
      </c>
      <c r="H62" s="10">
        <f t="shared" si="11"/>
        <v>0</v>
      </c>
      <c r="I62" s="10">
        <f t="shared" si="2"/>
        <v>0</v>
      </c>
      <c r="J62" s="10">
        <f t="shared" si="3"/>
        <v>0</v>
      </c>
      <c r="K62" s="68">
        <f t="shared" si="4"/>
        <v>0</v>
      </c>
      <c r="L62" s="16" t="str">
        <f t="shared" si="5"/>
        <v>CRITICAL — CAPITAL EXHAUSTED</v>
      </c>
      <c r="M62" s="16" t="str">
        <f t="shared" si="6"/>
        <v>Goal not met</v>
      </c>
    </row>
  </sheetData>
  <mergeCells count="18">
    <mergeCell ref="G20:M20"/>
    <mergeCell ref="G7:J7"/>
    <mergeCell ref="A2:M2"/>
    <mergeCell ref="G11:J11"/>
    <mergeCell ref="G5:J5"/>
    <mergeCell ref="G10:J10"/>
    <mergeCell ref="G14:J14"/>
    <mergeCell ref="G6:J6"/>
    <mergeCell ref="G13:J13"/>
    <mergeCell ref="G9:J9"/>
    <mergeCell ref="A1:M1"/>
    <mergeCell ref="G19:M19"/>
    <mergeCell ref="G18:M18"/>
    <mergeCell ref="G8:J8"/>
    <mergeCell ref="G17:M17"/>
    <mergeCell ref="A4:D4"/>
    <mergeCell ref="G12:J12"/>
    <mergeCell ref="F16:M16"/>
  </mergeCells>
  <conditionalFormatting sqref="G23:G62">
    <cfRule type="expression" dxfId="4" priority="1">
      <formula>G23&lt;0</formula>
    </cfRule>
  </conditionalFormatting>
  <conditionalFormatting sqref="J23:J62">
    <cfRule type="expression" dxfId="3" priority="2">
      <formula>J23=0</formula>
    </cfRule>
  </conditionalFormatting>
  <conditionalFormatting sqref="K23:K62">
    <cfRule type="expression" dxfId="2" priority="3">
      <formula>K23&lt;0.5</formula>
    </cfRule>
    <cfRule type="expression" dxfId="1" priority="4">
      <formula>AND(K23&gt;=0.5,K23&lt;2)</formula>
    </cfRule>
    <cfRule type="expression" dxfId="0" priority="5">
      <formula>K23&gt;=2</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Retirement Cash Flow</vt:lpstr>
      <vt:lpstr>Cash Flow V8</vt:lpstr>
      <vt:lpstr>Capital &amp; Net Worth</vt:lpstr>
      <vt:lpstr>Annual Report 2025</vt:lpstr>
      <vt:lpstr>Retirement Goals &amp; 40-Year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Jacobus</dc:creator>
  <cp:lastModifiedBy>Charles Jacobus</cp:lastModifiedBy>
  <dcterms:created xsi:type="dcterms:W3CDTF">2026-08-02T18:34:09Z</dcterms:created>
  <dcterms:modified xsi:type="dcterms:W3CDTF">2026-08-02T19:48:34Z</dcterms:modified>
</cp:coreProperties>
</file>